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134\Desktop\програма квітень,травень, червень\2025\ВЕРЕСЕНЬ БЕЗ ДОПЛАТ\"/>
    </mc:Choice>
  </mc:AlternateContent>
  <bookViews>
    <workbookView xWindow="0" yWindow="0" windowWidth="19200" windowHeight="10695"/>
  </bookViews>
  <sheets>
    <sheet name="жовтень" sheetId="1" r:id="rId1"/>
  </sheets>
  <externalReferences>
    <externalReference r:id="rId2"/>
  </externalReferences>
  <definedNames>
    <definedName name="_xlnm.Print_Titles" localSheetId="0">жовтень!$5:$9</definedName>
    <definedName name="_xlnm.Print_Area" localSheetId="0">жовтень!$A$1:$L$357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2" i="1" l="1"/>
  <c r="K352" i="1" l="1"/>
  <c r="G352" i="1"/>
  <c r="J350" i="1"/>
  <c r="J349" i="1"/>
  <c r="O349" i="1" s="1"/>
  <c r="O347" i="1"/>
  <c r="I347" i="1"/>
  <c r="J346" i="1"/>
  <c r="O346" i="1" s="1"/>
  <c r="I346" i="1"/>
  <c r="O345" i="1"/>
  <c r="J344" i="1"/>
  <c r="O344" i="1" s="1"/>
  <c r="O343" i="1"/>
  <c r="O342" i="1"/>
  <c r="J342" i="1"/>
  <c r="O341" i="1"/>
  <c r="O340" i="1"/>
  <c r="I340" i="1"/>
  <c r="O339" i="1"/>
  <c r="I339" i="1"/>
  <c r="O338" i="1"/>
  <c r="I338" i="1"/>
  <c r="O337" i="1"/>
  <c r="O336" i="1"/>
  <c r="O335" i="1"/>
  <c r="O334" i="1"/>
  <c r="J334" i="1"/>
  <c r="J352" i="1" s="1"/>
  <c r="I334" i="1"/>
  <c r="I352" i="1" s="1"/>
  <c r="AE330" i="1"/>
  <c r="AE329" i="1"/>
  <c r="AE328" i="1"/>
  <c r="O328" i="1"/>
  <c r="AE327" i="1"/>
  <c r="O327" i="1"/>
  <c r="AE326" i="1"/>
  <c r="O326" i="1"/>
  <c r="AE325" i="1"/>
  <c r="O325" i="1"/>
  <c r="AE324" i="1"/>
  <c r="O324" i="1"/>
  <c r="AE323" i="1"/>
  <c r="O323" i="1"/>
  <c r="AE322" i="1"/>
  <c r="O322" i="1"/>
  <c r="AE321" i="1"/>
  <c r="O321" i="1"/>
  <c r="AE320" i="1"/>
  <c r="Q320" i="1"/>
  <c r="O320" i="1"/>
  <c r="AE319" i="1"/>
  <c r="Q319" i="1"/>
  <c r="O319" i="1"/>
  <c r="AE318" i="1"/>
  <c r="Q318" i="1"/>
  <c r="O318" i="1"/>
  <c r="AE317" i="1"/>
  <c r="Q317" i="1"/>
  <c r="O317" i="1"/>
  <c r="AE316" i="1"/>
  <c r="Q316" i="1"/>
  <c r="O316" i="1"/>
  <c r="AE315" i="1"/>
  <c r="Q315" i="1"/>
  <c r="O315" i="1"/>
  <c r="AE314" i="1"/>
  <c r="Q314" i="1"/>
  <c r="O314" i="1"/>
  <c r="AE312" i="1"/>
  <c r="Q312" i="1"/>
  <c r="O312" i="1"/>
  <c r="AE311" i="1"/>
  <c r="AE310" i="1"/>
  <c r="Q310" i="1"/>
  <c r="O310" i="1"/>
  <c r="K309" i="1"/>
  <c r="Q309" i="1" s="1"/>
  <c r="J309" i="1"/>
  <c r="O309" i="1" s="1"/>
  <c r="I309" i="1"/>
  <c r="H309" i="1"/>
  <c r="G309" i="1"/>
  <c r="AE308" i="1"/>
  <c r="Q308" i="1"/>
  <c r="O308" i="1"/>
  <c r="AE307" i="1"/>
  <c r="Q307" i="1"/>
  <c r="O307" i="1"/>
  <c r="AE306" i="1"/>
  <c r="Q306" i="1"/>
  <c r="O306" i="1"/>
  <c r="O305" i="1"/>
  <c r="K305" i="1"/>
  <c r="Q305" i="1" s="1"/>
  <c r="J305" i="1"/>
  <c r="AE305" i="1" s="1"/>
  <c r="I305" i="1"/>
  <c r="H305" i="1"/>
  <c r="G305" i="1"/>
  <c r="AE304" i="1"/>
  <c r="Q304" i="1"/>
  <c r="AE303" i="1"/>
  <c r="Q303" i="1"/>
  <c r="M303" i="1"/>
  <c r="AE302" i="1"/>
  <c r="Q302" i="1"/>
  <c r="M302" i="1"/>
  <c r="O301" i="1"/>
  <c r="K301" i="1"/>
  <c r="Q301" i="1" s="1"/>
  <c r="J301" i="1"/>
  <c r="AE301" i="1" s="1"/>
  <c r="I301" i="1"/>
  <c r="H301" i="1"/>
  <c r="G301" i="1"/>
  <c r="AE300" i="1"/>
  <c r="Q300" i="1"/>
  <c r="AE299" i="1"/>
  <c r="Q299" i="1"/>
  <c r="AE298" i="1"/>
  <c r="Q298" i="1"/>
  <c r="Q297" i="1"/>
  <c r="K297" i="1"/>
  <c r="J297" i="1"/>
  <c r="O297" i="1" s="1"/>
  <c r="I297" i="1"/>
  <c r="H297" i="1"/>
  <c r="G297" i="1"/>
  <c r="AE296" i="1"/>
  <c r="Q296" i="1"/>
  <c r="AE295" i="1"/>
  <c r="Q295" i="1"/>
  <c r="AE294" i="1"/>
  <c r="Q294" i="1"/>
  <c r="O293" i="1"/>
  <c r="K293" i="1"/>
  <c r="Q293" i="1" s="1"/>
  <c r="J293" i="1"/>
  <c r="AE293" i="1" s="1"/>
  <c r="I293" i="1"/>
  <c r="H293" i="1"/>
  <c r="H313" i="1" s="1"/>
  <c r="G293" i="1"/>
  <c r="G313" i="1" s="1"/>
  <c r="AE292" i="1"/>
  <c r="Q292" i="1"/>
  <c r="AE291" i="1"/>
  <c r="Q291" i="1"/>
  <c r="AE290" i="1"/>
  <c r="Q290" i="1"/>
  <c r="Q289" i="1"/>
  <c r="K289" i="1"/>
  <c r="J289" i="1"/>
  <c r="J313" i="1" s="1"/>
  <c r="AE313" i="1" s="1"/>
  <c r="I289" i="1"/>
  <c r="I313" i="1" s="1"/>
  <c r="H289" i="1"/>
  <c r="G289" i="1"/>
  <c r="AE288" i="1"/>
  <c r="Q288" i="1"/>
  <c r="O288" i="1"/>
  <c r="AE286" i="1"/>
  <c r="Q286" i="1"/>
  <c r="O286" i="1"/>
  <c r="N286" i="1"/>
  <c r="M286" i="1"/>
  <c r="I286" i="1"/>
  <c r="AE285" i="1"/>
  <c r="Q285" i="1"/>
  <c r="O285" i="1"/>
  <c r="N285" i="1"/>
  <c r="I285" i="1"/>
  <c r="AE284" i="1"/>
  <c r="Q284" i="1"/>
  <c r="O284" i="1"/>
  <c r="N284" i="1"/>
  <c r="AE283" i="1"/>
  <c r="Q283" i="1"/>
  <c r="O283" i="1"/>
  <c r="N283" i="1"/>
  <c r="I283" i="1"/>
  <c r="I282" i="1" s="1"/>
  <c r="O282" i="1"/>
  <c r="K282" i="1"/>
  <c r="Q282" i="1" s="1"/>
  <c r="J282" i="1"/>
  <c r="AE282" i="1" s="1"/>
  <c r="H282" i="1"/>
  <c r="G282" i="1"/>
  <c r="Q281" i="1"/>
  <c r="M281" i="1"/>
  <c r="J281" i="1"/>
  <c r="AE281" i="1" s="1"/>
  <c r="Q280" i="1"/>
  <c r="M280" i="1"/>
  <c r="J280" i="1"/>
  <c r="AE280" i="1" s="1"/>
  <c r="H280" i="1"/>
  <c r="AE279" i="1"/>
  <c r="Q279" i="1"/>
  <c r="M279" i="1"/>
  <c r="J279" i="1"/>
  <c r="Q278" i="1"/>
  <c r="K278" i="1"/>
  <c r="I278" i="1"/>
  <c r="H278" i="1"/>
  <c r="G278" i="1"/>
  <c r="AE277" i="1"/>
  <c r="Q277" i="1"/>
  <c r="M277" i="1"/>
  <c r="AE276" i="1"/>
  <c r="Q276" i="1"/>
  <c r="M276" i="1"/>
  <c r="AE275" i="1"/>
  <c r="Q275" i="1"/>
  <c r="M275" i="1"/>
  <c r="Q274" i="1"/>
  <c r="K274" i="1"/>
  <c r="J274" i="1"/>
  <c r="O274" i="1" s="1"/>
  <c r="I274" i="1"/>
  <c r="H274" i="1"/>
  <c r="G274" i="1"/>
  <c r="AE273" i="1"/>
  <c r="Q273" i="1"/>
  <c r="AE272" i="1"/>
  <c r="Q272" i="1"/>
  <c r="AE271" i="1"/>
  <c r="Q271" i="1"/>
  <c r="O270" i="1"/>
  <c r="K270" i="1"/>
  <c r="Q270" i="1" s="1"/>
  <c r="J270" i="1"/>
  <c r="AE270" i="1" s="1"/>
  <c r="I270" i="1"/>
  <c r="H270" i="1"/>
  <c r="G270" i="1"/>
  <c r="G287" i="1" s="1"/>
  <c r="AE269" i="1"/>
  <c r="AE268" i="1"/>
  <c r="Q268" i="1"/>
  <c r="AE267" i="1"/>
  <c r="Q267" i="1"/>
  <c r="Q266" i="1"/>
  <c r="O266" i="1"/>
  <c r="K266" i="1"/>
  <c r="J266" i="1"/>
  <c r="AE266" i="1" s="1"/>
  <c r="I266" i="1"/>
  <c r="H266" i="1"/>
  <c r="G266" i="1"/>
  <c r="AE265" i="1"/>
  <c r="Q265" i="1"/>
  <c r="AE264" i="1"/>
  <c r="Q264" i="1"/>
  <c r="Q263" i="1"/>
  <c r="O263" i="1"/>
  <c r="K263" i="1"/>
  <c r="J263" i="1"/>
  <c r="AE263" i="1" s="1"/>
  <c r="I263" i="1"/>
  <c r="H263" i="1"/>
  <c r="G263" i="1"/>
  <c r="AE262" i="1"/>
  <c r="Q262" i="1"/>
  <c r="O262" i="1"/>
  <c r="AE261" i="1"/>
  <c r="Q261" i="1"/>
  <c r="O261" i="1"/>
  <c r="AE260" i="1"/>
  <c r="Q260" i="1"/>
  <c r="I260" i="1"/>
  <c r="AE259" i="1"/>
  <c r="Q259" i="1"/>
  <c r="I259" i="1"/>
  <c r="Q258" i="1"/>
  <c r="O258" i="1"/>
  <c r="K258" i="1"/>
  <c r="J258" i="1"/>
  <c r="I258" i="1"/>
  <c r="I287" i="1" s="1"/>
  <c r="H258" i="1"/>
  <c r="H287" i="1" s="1"/>
  <c r="G258" i="1"/>
  <c r="AE257" i="1"/>
  <c r="Q257" i="1"/>
  <c r="O257" i="1"/>
  <c r="J256" i="1"/>
  <c r="AE256" i="1" s="1"/>
  <c r="G256" i="1"/>
  <c r="AE255" i="1"/>
  <c r="Q255" i="1"/>
  <c r="O255" i="1"/>
  <c r="AE254" i="1"/>
  <c r="Q254" i="1"/>
  <c r="O254" i="1"/>
  <c r="N254" i="1"/>
  <c r="K254" i="1"/>
  <c r="I254" i="1"/>
  <c r="H254" i="1"/>
  <c r="AE253" i="1"/>
  <c r="Q253" i="1"/>
  <c r="O253" i="1"/>
  <c r="N253" i="1"/>
  <c r="K253" i="1"/>
  <c r="H253" i="1"/>
  <c r="I253" i="1" s="1"/>
  <c r="AE252" i="1"/>
  <c r="O252" i="1"/>
  <c r="N252" i="1"/>
  <c r="M252" i="1"/>
  <c r="K252" i="1"/>
  <c r="Q252" i="1" s="1"/>
  <c r="H252" i="1"/>
  <c r="I252" i="1" s="1"/>
  <c r="AE251" i="1"/>
  <c r="Q251" i="1"/>
  <c r="O251" i="1"/>
  <c r="N251" i="1"/>
  <c r="I251" i="1"/>
  <c r="H251" i="1"/>
  <c r="AE250" i="1"/>
  <c r="Q250" i="1"/>
  <c r="O250" i="1"/>
  <c r="N250" i="1"/>
  <c r="K250" i="1"/>
  <c r="K256" i="1" s="1"/>
  <c r="Q256" i="1" s="1"/>
  <c r="G250" i="1"/>
  <c r="H250" i="1" s="1"/>
  <c r="AE249" i="1"/>
  <c r="AE248" i="1"/>
  <c r="K248" i="1"/>
  <c r="J248" i="1"/>
  <c r="I248" i="1"/>
  <c r="H248" i="1"/>
  <c r="G248" i="1"/>
  <c r="AE247" i="1"/>
  <c r="Q247" i="1"/>
  <c r="O247" i="1"/>
  <c r="AE246" i="1"/>
  <c r="Q246" i="1"/>
  <c r="O246" i="1"/>
  <c r="AE245" i="1"/>
  <c r="Q245" i="1"/>
  <c r="O245" i="1"/>
  <c r="AE244" i="1"/>
  <c r="Q244" i="1"/>
  <c r="O244" i="1"/>
  <c r="AE243" i="1"/>
  <c r="Q243" i="1"/>
  <c r="O243" i="1"/>
  <c r="AE242" i="1"/>
  <c r="Q242" i="1"/>
  <c r="O242" i="1"/>
  <c r="AE241" i="1"/>
  <c r="Q241" i="1"/>
  <c r="O241" i="1"/>
  <c r="AE240" i="1"/>
  <c r="Q240" i="1"/>
  <c r="O240" i="1"/>
  <c r="AE239" i="1"/>
  <c r="Q239" i="1"/>
  <c r="O239" i="1"/>
  <c r="AE238" i="1"/>
  <c r="Q238" i="1"/>
  <c r="O238" i="1"/>
  <c r="AE237" i="1"/>
  <c r="Q237" i="1"/>
  <c r="O237" i="1"/>
  <c r="AE236" i="1"/>
  <c r="Q236" i="1"/>
  <c r="O236" i="1"/>
  <c r="AE235" i="1"/>
  <c r="Q235" i="1"/>
  <c r="O235" i="1"/>
  <c r="AE234" i="1"/>
  <c r="AE233" i="1"/>
  <c r="Q233" i="1"/>
  <c r="O233" i="1"/>
  <c r="AE232" i="1"/>
  <c r="Q232" i="1"/>
  <c r="O232" i="1"/>
  <c r="AE231" i="1"/>
  <c r="Q231" i="1"/>
  <c r="O231" i="1"/>
  <c r="AE230" i="1"/>
  <c r="Q230" i="1"/>
  <c r="O230" i="1"/>
  <c r="AE229" i="1"/>
  <c r="Q229" i="1"/>
  <c r="O229" i="1"/>
  <c r="AE228" i="1"/>
  <c r="Q228" i="1"/>
  <c r="O228" i="1"/>
  <c r="AE227" i="1"/>
  <c r="Q227" i="1"/>
  <c r="O227" i="1"/>
  <c r="AE226" i="1"/>
  <c r="Q226" i="1"/>
  <c r="O226" i="1"/>
  <c r="AE225" i="1"/>
  <c r="Q225" i="1"/>
  <c r="O225" i="1"/>
  <c r="AE224" i="1"/>
  <c r="K223" i="1"/>
  <c r="J223" i="1"/>
  <c r="AE223" i="1" s="1"/>
  <c r="H223" i="1"/>
  <c r="G223" i="1"/>
  <c r="AE222" i="1"/>
  <c r="AE221" i="1"/>
  <c r="Q221" i="1"/>
  <c r="O221" i="1"/>
  <c r="AE220" i="1"/>
  <c r="Q220" i="1"/>
  <c r="O220" i="1"/>
  <c r="AE219" i="1"/>
  <c r="Q219" i="1"/>
  <c r="O219" i="1"/>
  <c r="AE218" i="1"/>
  <c r="Q218" i="1"/>
  <c r="O218" i="1"/>
  <c r="AE217" i="1"/>
  <c r="Q217" i="1"/>
  <c r="O217" i="1"/>
  <c r="AE216" i="1"/>
  <c r="Q216" i="1"/>
  <c r="O216" i="1"/>
  <c r="AE215" i="1"/>
  <c r="Q215" i="1"/>
  <c r="O215" i="1"/>
  <c r="AE214" i="1"/>
  <c r="Q214" i="1"/>
  <c r="O214" i="1"/>
  <c r="AE213" i="1"/>
  <c r="Q213" i="1"/>
  <c r="O213" i="1"/>
  <c r="AE212" i="1"/>
  <c r="Q212" i="1"/>
  <c r="O212" i="1"/>
  <c r="AE211" i="1"/>
  <c r="Q211" i="1"/>
  <c r="O211" i="1"/>
  <c r="I211" i="1"/>
  <c r="I223" i="1" s="1"/>
  <c r="AE210" i="1"/>
  <c r="Q210" i="1"/>
  <c r="O210" i="1"/>
  <c r="AE209" i="1"/>
  <c r="Q209" i="1"/>
  <c r="O209" i="1"/>
  <c r="AE208" i="1"/>
  <c r="Q208" i="1"/>
  <c r="O208" i="1"/>
  <c r="AE207" i="1"/>
  <c r="Q207" i="1"/>
  <c r="O207" i="1"/>
  <c r="AE206" i="1"/>
  <c r="Q206" i="1"/>
  <c r="O206" i="1"/>
  <c r="AE205" i="1"/>
  <c r="Q205" i="1"/>
  <c r="O205" i="1"/>
  <c r="AE204" i="1"/>
  <c r="Q204" i="1"/>
  <c r="O204" i="1"/>
  <c r="AE203" i="1"/>
  <c r="Q203" i="1"/>
  <c r="O203" i="1"/>
  <c r="AE202" i="1"/>
  <c r="Q202" i="1"/>
  <c r="O202" i="1"/>
  <c r="AE201" i="1"/>
  <c r="Q201" i="1"/>
  <c r="O201" i="1"/>
  <c r="AE200" i="1"/>
  <c r="Q200" i="1"/>
  <c r="J199" i="1"/>
  <c r="AE199" i="1" s="1"/>
  <c r="H199" i="1"/>
  <c r="AE198" i="1"/>
  <c r="Q198" i="1"/>
  <c r="O198" i="1"/>
  <c r="AE197" i="1"/>
  <c r="Q197" i="1"/>
  <c r="O197" i="1"/>
  <c r="AE196" i="1"/>
  <c r="Q196" i="1"/>
  <c r="O196" i="1"/>
  <c r="N196" i="1"/>
  <c r="I196" i="1"/>
  <c r="G196" i="1"/>
  <c r="G199" i="1" s="1"/>
  <c r="AE195" i="1"/>
  <c r="Q195" i="1"/>
  <c r="O195" i="1"/>
  <c r="M195" i="1"/>
  <c r="N195" i="1" s="1"/>
  <c r="I195" i="1"/>
  <c r="AE194" i="1"/>
  <c r="O194" i="1"/>
  <c r="N194" i="1"/>
  <c r="K194" i="1"/>
  <c r="K199" i="1" s="1"/>
  <c r="Q199" i="1" s="1"/>
  <c r="I194" i="1"/>
  <c r="AE193" i="1"/>
  <c r="Q193" i="1"/>
  <c r="O193" i="1"/>
  <c r="N193" i="1"/>
  <c r="I193" i="1"/>
  <c r="I199" i="1" s="1"/>
  <c r="AE192" i="1"/>
  <c r="Q192" i="1"/>
  <c r="O192" i="1"/>
  <c r="Q191" i="1"/>
  <c r="K191" i="1"/>
  <c r="H191" i="1"/>
  <c r="G191" i="1"/>
  <c r="AE190" i="1"/>
  <c r="Q190" i="1"/>
  <c r="O190" i="1"/>
  <c r="AE189" i="1"/>
  <c r="Q189" i="1"/>
  <c r="O189" i="1"/>
  <c r="AE188" i="1"/>
  <c r="Q188" i="1"/>
  <c r="O188" i="1"/>
  <c r="Q187" i="1"/>
  <c r="J187" i="1"/>
  <c r="O187" i="1" s="1"/>
  <c r="I187" i="1"/>
  <c r="I191" i="1" s="1"/>
  <c r="AE186" i="1"/>
  <c r="Q186" i="1"/>
  <c r="O186" i="1"/>
  <c r="AE185" i="1"/>
  <c r="Q185" i="1"/>
  <c r="O185" i="1"/>
  <c r="Q184" i="1"/>
  <c r="J184" i="1"/>
  <c r="AE184" i="1" s="1"/>
  <c r="I184" i="1"/>
  <c r="H184" i="1"/>
  <c r="AE183" i="1"/>
  <c r="Q183" i="1"/>
  <c r="J183" i="1"/>
  <c r="I183" i="1"/>
  <c r="H183" i="1"/>
  <c r="AE182" i="1"/>
  <c r="Q182" i="1"/>
  <c r="O182" i="1"/>
  <c r="AE181" i="1"/>
  <c r="Q181" i="1"/>
  <c r="O181" i="1"/>
  <c r="AE180" i="1"/>
  <c r="Q180" i="1"/>
  <c r="O180" i="1"/>
  <c r="AE179" i="1"/>
  <c r="Q179" i="1"/>
  <c r="O179" i="1"/>
  <c r="AE178" i="1"/>
  <c r="Q178" i="1"/>
  <c r="O178" i="1"/>
  <c r="AE177" i="1"/>
  <c r="Q177" i="1"/>
  <c r="O177" i="1"/>
  <c r="AE176" i="1"/>
  <c r="Q176" i="1"/>
  <c r="O176" i="1"/>
  <c r="K175" i="1"/>
  <c r="Q175" i="1" s="1"/>
  <c r="J175" i="1"/>
  <c r="AE175" i="1" s="1"/>
  <c r="I175" i="1"/>
  <c r="H175" i="1"/>
  <c r="G175" i="1"/>
  <c r="AE174" i="1"/>
  <c r="Q174" i="1"/>
  <c r="O174" i="1"/>
  <c r="AE173" i="1"/>
  <c r="Q173" i="1"/>
  <c r="O173" i="1"/>
  <c r="AE172" i="1"/>
  <c r="Q172" i="1"/>
  <c r="O172" i="1"/>
  <c r="AE171" i="1"/>
  <c r="Q171" i="1"/>
  <c r="O171" i="1"/>
  <c r="AE170" i="1"/>
  <c r="Q170" i="1"/>
  <c r="O170" i="1"/>
  <c r="AE169" i="1"/>
  <c r="Q169" i="1"/>
  <c r="O169" i="1"/>
  <c r="I168" i="1"/>
  <c r="H168" i="1"/>
  <c r="G168" i="1"/>
  <c r="AE166" i="1"/>
  <c r="AE165" i="1"/>
  <c r="Q165" i="1"/>
  <c r="O165" i="1"/>
  <c r="AE164" i="1"/>
  <c r="Q164" i="1"/>
  <c r="O164" i="1"/>
  <c r="AE163" i="1"/>
  <c r="Q163" i="1"/>
  <c r="O163" i="1"/>
  <c r="AE162" i="1"/>
  <c r="Q162" i="1"/>
  <c r="O162" i="1"/>
  <c r="AE161" i="1"/>
  <c r="Q161" i="1"/>
  <c r="O161" i="1"/>
  <c r="AE160" i="1"/>
  <c r="Q160" i="1"/>
  <c r="I160" i="1"/>
  <c r="AE159" i="1"/>
  <c r="O159" i="1"/>
  <c r="K159" i="1"/>
  <c r="Q159" i="1" s="1"/>
  <c r="J159" i="1"/>
  <c r="N159" i="1" s="1"/>
  <c r="AE158" i="1"/>
  <c r="M158" i="1"/>
  <c r="J158" i="1"/>
  <c r="K158" i="1" s="1"/>
  <c r="AE157" i="1"/>
  <c r="Q157" i="1"/>
  <c r="O157" i="1"/>
  <c r="K156" i="1"/>
  <c r="Q156" i="1" s="1"/>
  <c r="I156" i="1"/>
  <c r="G156" i="1"/>
  <c r="AE155" i="1"/>
  <c r="Q155" i="1"/>
  <c r="N155" i="1"/>
  <c r="AE154" i="1"/>
  <c r="Q154" i="1"/>
  <c r="O154" i="1"/>
  <c r="AE153" i="1"/>
  <c r="Q153" i="1"/>
  <c r="O153" i="1"/>
  <c r="AE152" i="1"/>
  <c r="Q152" i="1"/>
  <c r="O152" i="1"/>
  <c r="AE151" i="1"/>
  <c r="Q151" i="1"/>
  <c r="O151" i="1"/>
  <c r="AE150" i="1"/>
  <c r="Q150" i="1"/>
  <c r="O150" i="1"/>
  <c r="AE149" i="1"/>
  <c r="Q149" i="1"/>
  <c r="O149" i="1"/>
  <c r="AE148" i="1"/>
  <c r="Q148" i="1"/>
  <c r="O148" i="1"/>
  <c r="Q147" i="1"/>
  <c r="J147" i="1"/>
  <c r="AE147" i="1" s="1"/>
  <c r="I147" i="1"/>
  <c r="AE146" i="1"/>
  <c r="Q146" i="1"/>
  <c r="O146" i="1"/>
  <c r="AE145" i="1"/>
  <c r="Q145" i="1"/>
  <c r="O145" i="1"/>
  <c r="AE144" i="1"/>
  <c r="Q144" i="1"/>
  <c r="O144" i="1"/>
  <c r="AE143" i="1"/>
  <c r="Q143" i="1"/>
  <c r="O143" i="1"/>
  <c r="AE142" i="1"/>
  <c r="Q142" i="1"/>
  <c r="O142" i="1"/>
  <c r="AE141" i="1"/>
  <c r="Q141" i="1"/>
  <c r="O141" i="1"/>
  <c r="K140" i="1"/>
  <c r="Q140" i="1" s="1"/>
  <c r="J140" i="1"/>
  <c r="J156" i="1" s="1"/>
  <c r="AE156" i="1" s="1"/>
  <c r="I140" i="1"/>
  <c r="H140" i="1"/>
  <c r="H156" i="1" s="1"/>
  <c r="G140" i="1"/>
  <c r="AE139" i="1"/>
  <c r="Q139" i="1"/>
  <c r="O139" i="1"/>
  <c r="Q138" i="1"/>
  <c r="K138" i="1"/>
  <c r="AE137" i="1"/>
  <c r="J137" i="1"/>
  <c r="AE136" i="1"/>
  <c r="Q136" i="1"/>
  <c r="O136" i="1"/>
  <c r="AE135" i="1"/>
  <c r="Q135" i="1"/>
  <c r="N135" i="1"/>
  <c r="H135" i="1"/>
  <c r="AE134" i="1"/>
  <c r="Q134" i="1"/>
  <c r="O134" i="1"/>
  <c r="AE133" i="1"/>
  <c r="Q133" i="1"/>
  <c r="O133" i="1"/>
  <c r="AE132" i="1"/>
  <c r="Q132" i="1"/>
  <c r="O132" i="1"/>
  <c r="AE131" i="1"/>
  <c r="Q131" i="1"/>
  <c r="O131" i="1"/>
  <c r="AE130" i="1"/>
  <c r="AE129" i="1"/>
  <c r="Q129" i="1"/>
  <c r="O129" i="1"/>
  <c r="J129" i="1"/>
  <c r="I129" i="1"/>
  <c r="H129" i="1"/>
  <c r="G129" i="1"/>
  <c r="AE128" i="1"/>
  <c r="Q128" i="1"/>
  <c r="O128" i="1"/>
  <c r="AE127" i="1"/>
  <c r="Q127" i="1"/>
  <c r="O127" i="1"/>
  <c r="AE126" i="1"/>
  <c r="Q126" i="1"/>
  <c r="O126" i="1"/>
  <c r="AE125" i="1"/>
  <c r="Q125" i="1"/>
  <c r="O125" i="1"/>
  <c r="AE124" i="1"/>
  <c r="Q124" i="1"/>
  <c r="O124" i="1"/>
  <c r="AE123" i="1"/>
  <c r="Q123" i="1"/>
  <c r="O123" i="1"/>
  <c r="AE122" i="1"/>
  <c r="Q121" i="1"/>
  <c r="J121" i="1"/>
  <c r="O121" i="1" s="1"/>
  <c r="I121" i="1"/>
  <c r="H121" i="1"/>
  <c r="AE120" i="1"/>
  <c r="Q120" i="1"/>
  <c r="O120" i="1"/>
  <c r="I120" i="1"/>
  <c r="AE119" i="1"/>
  <c r="Q119" i="1"/>
  <c r="O119" i="1"/>
  <c r="AE118" i="1"/>
  <c r="Q118" i="1"/>
  <c r="O118" i="1"/>
  <c r="J117" i="1"/>
  <c r="AE117" i="1" s="1"/>
  <c r="AE116" i="1"/>
  <c r="AE115" i="1"/>
  <c r="Q115" i="1"/>
  <c r="O115" i="1"/>
  <c r="AE114" i="1"/>
  <c r="Q114" i="1"/>
  <c r="O114" i="1"/>
  <c r="AE113" i="1"/>
  <c r="Q113" i="1"/>
  <c r="O113" i="1"/>
  <c r="N113" i="1"/>
  <c r="AE112" i="1"/>
  <c r="Q112" i="1"/>
  <c r="O112" i="1"/>
  <c r="AE111" i="1"/>
  <c r="Q111" i="1"/>
  <c r="O111" i="1"/>
  <c r="N111" i="1"/>
  <c r="AE110" i="1"/>
  <c r="Q110" i="1"/>
  <c r="O110" i="1"/>
  <c r="H110" i="1"/>
  <c r="AE109" i="1"/>
  <c r="Q109" i="1"/>
  <c r="O109" i="1"/>
  <c r="AE108" i="1"/>
  <c r="Q108" i="1"/>
  <c r="O108" i="1"/>
  <c r="AE107" i="1"/>
  <c r="AE106" i="1"/>
  <c r="J105" i="1"/>
  <c r="AE105" i="1" s="1"/>
  <c r="AE104" i="1"/>
  <c r="AE103" i="1"/>
  <c r="J103" i="1"/>
  <c r="AE102" i="1"/>
  <c r="AE101" i="1"/>
  <c r="Q100" i="1"/>
  <c r="J100" i="1"/>
  <c r="AE100" i="1" s="1"/>
  <c r="I100" i="1"/>
  <c r="H100" i="1"/>
  <c r="AE99" i="1"/>
  <c r="Q99" i="1"/>
  <c r="O99" i="1"/>
  <c r="AE98" i="1"/>
  <c r="Q98" i="1"/>
  <c r="O98" i="1"/>
  <c r="AE97" i="1"/>
  <c r="Q97" i="1"/>
  <c r="O97" i="1"/>
  <c r="AE96" i="1"/>
  <c r="Q96" i="1"/>
  <c r="O96" i="1"/>
  <c r="AE95" i="1"/>
  <c r="Q95" i="1"/>
  <c r="O95" i="1"/>
  <c r="N95" i="1"/>
  <c r="AE94" i="1"/>
  <c r="Q94" i="1"/>
  <c r="O94" i="1"/>
  <c r="AE93" i="1"/>
  <c r="Q93" i="1"/>
  <c r="O93" i="1"/>
  <c r="N93" i="1"/>
  <c r="G93" i="1"/>
  <c r="AE92" i="1"/>
  <c r="Q92" i="1"/>
  <c r="O92" i="1"/>
  <c r="AE91" i="1"/>
  <c r="Q91" i="1"/>
  <c r="O91" i="1"/>
  <c r="AE90" i="1"/>
  <c r="Q90" i="1"/>
  <c r="O90" i="1"/>
  <c r="AE89" i="1"/>
  <c r="Q89" i="1"/>
  <c r="O89" i="1"/>
  <c r="AE88" i="1"/>
  <c r="Q88" i="1"/>
  <c r="O88" i="1"/>
  <c r="AE87" i="1"/>
  <c r="Q87" i="1"/>
  <c r="O87" i="1"/>
  <c r="AE86" i="1"/>
  <c r="Q86" i="1"/>
  <c r="O86" i="1"/>
  <c r="AE85" i="1"/>
  <c r="Q85" i="1"/>
  <c r="O85" i="1"/>
  <c r="AE84" i="1"/>
  <c r="Q84" i="1"/>
  <c r="O84" i="1"/>
  <c r="AE83" i="1"/>
  <c r="Q83" i="1"/>
  <c r="O83" i="1"/>
  <c r="AE82" i="1"/>
  <c r="Q82" i="1"/>
  <c r="O82" i="1"/>
  <c r="H82" i="1"/>
  <c r="H138" i="1" s="1"/>
  <c r="G82" i="1"/>
  <c r="AE81" i="1"/>
  <c r="Q81" i="1"/>
  <c r="O81" i="1"/>
  <c r="AE80" i="1"/>
  <c r="Q80" i="1"/>
  <c r="O80" i="1"/>
  <c r="AE79" i="1"/>
  <c r="Q79" i="1"/>
  <c r="O79" i="1"/>
  <c r="AE78" i="1"/>
  <c r="Q78" i="1"/>
  <c r="O78" i="1"/>
  <c r="AE77" i="1"/>
  <c r="Q77" i="1"/>
  <c r="O77" i="1"/>
  <c r="M77" i="1"/>
  <c r="N77" i="1" s="1"/>
  <c r="J77" i="1"/>
  <c r="I77" i="1"/>
  <c r="I138" i="1" s="1"/>
  <c r="H77" i="1"/>
  <c r="G77" i="1"/>
  <c r="G138" i="1" s="1"/>
  <c r="AE76" i="1"/>
  <c r="Q76" i="1"/>
  <c r="O76" i="1"/>
  <c r="I75" i="1"/>
  <c r="AE74" i="1"/>
  <c r="Q74" i="1"/>
  <c r="N74" i="1"/>
  <c r="AE73" i="1"/>
  <c r="Q73" i="1"/>
  <c r="O73" i="1"/>
  <c r="AE72" i="1"/>
  <c r="Q72" i="1"/>
  <c r="O72" i="1"/>
  <c r="AE71" i="1"/>
  <c r="Q71" i="1"/>
  <c r="O71" i="1"/>
  <c r="AE70" i="1"/>
  <c r="Q70" i="1"/>
  <c r="O70" i="1"/>
  <c r="AE69" i="1"/>
  <c r="Q69" i="1"/>
  <c r="O69" i="1"/>
  <c r="AE68" i="1"/>
  <c r="Q68" i="1"/>
  <c r="O68" i="1"/>
  <c r="AE67" i="1"/>
  <c r="Q67" i="1"/>
  <c r="O67" i="1"/>
  <c r="AE66" i="1"/>
  <c r="Q66" i="1"/>
  <c r="O66" i="1"/>
  <c r="AE65" i="1"/>
  <c r="Q65" i="1"/>
  <c r="O65" i="1"/>
  <c r="AE64" i="1"/>
  <c r="Q64" i="1"/>
  <c r="O64" i="1"/>
  <c r="AE63" i="1"/>
  <c r="Q63" i="1"/>
  <c r="O63" i="1"/>
  <c r="AE62" i="1"/>
  <c r="Q62" i="1"/>
  <c r="O62" i="1"/>
  <c r="AE61" i="1"/>
  <c r="Q61" i="1"/>
  <c r="O61" i="1"/>
  <c r="AE60" i="1"/>
  <c r="AE59" i="1"/>
  <c r="Q59" i="1"/>
  <c r="O59" i="1"/>
  <c r="AE58" i="1"/>
  <c r="Q58" i="1"/>
  <c r="O58" i="1"/>
  <c r="N58" i="1"/>
  <c r="M58" i="1"/>
  <c r="AE57" i="1"/>
  <c r="Q57" i="1"/>
  <c r="O57" i="1"/>
  <c r="N57" i="1"/>
  <c r="AE56" i="1"/>
  <c r="Q56" i="1"/>
  <c r="O56" i="1"/>
  <c r="AE55" i="1"/>
  <c r="Q55" i="1"/>
  <c r="O55" i="1"/>
  <c r="AE54" i="1"/>
  <c r="Q54" i="1"/>
  <c r="O54" i="1"/>
  <c r="AE53" i="1"/>
  <c r="Q53" i="1"/>
  <c r="O53" i="1"/>
  <c r="N53" i="1"/>
  <c r="AE52" i="1"/>
  <c r="Q52" i="1"/>
  <c r="O52" i="1"/>
  <c r="AE51" i="1"/>
  <c r="Q51" i="1"/>
  <c r="O51" i="1"/>
  <c r="N51" i="1"/>
  <c r="AE50" i="1"/>
  <c r="Q50" i="1"/>
  <c r="O50" i="1"/>
  <c r="H50" i="1"/>
  <c r="AE49" i="1"/>
  <c r="Q49" i="1"/>
  <c r="O49" i="1"/>
  <c r="AE48" i="1"/>
  <c r="Q48" i="1"/>
  <c r="O48" i="1"/>
  <c r="AE47" i="1"/>
  <c r="Q47" i="1"/>
  <c r="O47" i="1"/>
  <c r="AE46" i="1"/>
  <c r="Q46" i="1"/>
  <c r="O46" i="1"/>
  <c r="AE45" i="1"/>
  <c r="Q45" i="1"/>
  <c r="O45" i="1"/>
  <c r="AE44" i="1"/>
  <c r="Q44" i="1"/>
  <c r="O44" i="1"/>
  <c r="AE43" i="1"/>
  <c r="Q43" i="1"/>
  <c r="O43" i="1"/>
  <c r="N43" i="1"/>
  <c r="AE42" i="1"/>
  <c r="Q42" i="1"/>
  <c r="O42" i="1"/>
  <c r="AE41" i="1"/>
  <c r="Q41" i="1"/>
  <c r="O41" i="1"/>
  <c r="N41" i="1"/>
  <c r="AE40" i="1"/>
  <c r="Q40" i="1"/>
  <c r="O40" i="1"/>
  <c r="N40" i="1"/>
  <c r="I40" i="1"/>
  <c r="M39" i="1"/>
  <c r="J39" i="1"/>
  <c r="J75" i="1" s="1"/>
  <c r="AE75" i="1" s="1"/>
  <c r="I39" i="1"/>
  <c r="H39" i="1"/>
  <c r="H75" i="1" s="1"/>
  <c r="G39" i="1"/>
  <c r="AE38" i="1"/>
  <c r="Q38" i="1"/>
  <c r="O38" i="1"/>
  <c r="AE37" i="1"/>
  <c r="Q37" i="1"/>
  <c r="O37" i="1"/>
  <c r="Q36" i="1"/>
  <c r="O36" i="1"/>
  <c r="J36" i="1"/>
  <c r="N36" i="1" s="1"/>
  <c r="I36" i="1"/>
  <c r="G36" i="1"/>
  <c r="G75" i="1" s="1"/>
  <c r="AE35" i="1"/>
  <c r="Q35" i="1"/>
  <c r="O35" i="1"/>
  <c r="AE34" i="1"/>
  <c r="Q34" i="1"/>
  <c r="O34" i="1"/>
  <c r="AE33" i="1"/>
  <c r="Q33" i="1"/>
  <c r="O33" i="1"/>
  <c r="AE32" i="1"/>
  <c r="Q32" i="1"/>
  <c r="O32" i="1"/>
  <c r="AE31" i="1"/>
  <c r="Q31" i="1"/>
  <c r="O31" i="1"/>
  <c r="AE30" i="1"/>
  <c r="Q30" i="1"/>
  <c r="O30" i="1"/>
  <c r="AE28" i="1"/>
  <c r="AE27" i="1"/>
  <c r="Q27" i="1"/>
  <c r="O27" i="1"/>
  <c r="AE26" i="1"/>
  <c r="Q26" i="1"/>
  <c r="O26" i="1"/>
  <c r="I25" i="1"/>
  <c r="J25" i="1" s="1"/>
  <c r="H25" i="1"/>
  <c r="G25" i="1"/>
  <c r="AE24" i="1"/>
  <c r="Q24" i="1"/>
  <c r="O24" i="1"/>
  <c r="I23" i="1"/>
  <c r="J23" i="1" s="1"/>
  <c r="H23" i="1"/>
  <c r="G23" i="1"/>
  <c r="AE22" i="1"/>
  <c r="Q22" i="1"/>
  <c r="O22" i="1"/>
  <c r="AE21" i="1"/>
  <c r="Q21" i="1"/>
  <c r="O21" i="1"/>
  <c r="AE20" i="1"/>
  <c r="Q20" i="1"/>
  <c r="O20" i="1"/>
  <c r="AE19" i="1"/>
  <c r="Q19" i="1"/>
  <c r="O19" i="1"/>
  <c r="Q18" i="1"/>
  <c r="M18" i="1"/>
  <c r="J18" i="1"/>
  <c r="O18" i="1" s="1"/>
  <c r="I18" i="1"/>
  <c r="H18" i="1"/>
  <c r="AE17" i="1"/>
  <c r="Q17" i="1"/>
  <c r="O17" i="1"/>
  <c r="N17" i="1"/>
  <c r="I17" i="1"/>
  <c r="H17" i="1"/>
  <c r="G17" i="1"/>
  <c r="AE16" i="1"/>
  <c r="J16" i="1"/>
  <c r="AE15" i="1"/>
  <c r="J15" i="1"/>
  <c r="AE14" i="1"/>
  <c r="J14" i="1"/>
  <c r="AG13" i="1"/>
  <c r="AF13" i="1"/>
  <c r="AE13" i="1"/>
  <c r="J13" i="1"/>
  <c r="AE12" i="1"/>
  <c r="J12" i="1"/>
  <c r="M11" i="1"/>
  <c r="J11" i="1"/>
  <c r="N11" i="1" s="1"/>
  <c r="H11" i="1"/>
  <c r="H29" i="1" s="1"/>
  <c r="G11" i="1"/>
  <c r="G29" i="1" s="1"/>
  <c r="N25" i="1" l="1"/>
  <c r="AE25" i="1"/>
  <c r="K25" i="1"/>
  <c r="Q25" i="1" s="1"/>
  <c r="O25" i="1"/>
  <c r="H256" i="1"/>
  <c r="I250" i="1"/>
  <c r="I256" i="1" s="1"/>
  <c r="N23" i="1"/>
  <c r="AE23" i="1"/>
  <c r="K23" i="1"/>
  <c r="Q23" i="1" s="1"/>
  <c r="O23" i="1"/>
  <c r="Q158" i="1"/>
  <c r="K168" i="1"/>
  <c r="Q168" i="1" s="1"/>
  <c r="G353" i="1"/>
  <c r="H353" i="1"/>
  <c r="AE352" i="1"/>
  <c r="O352" i="1"/>
  <c r="I29" i="1"/>
  <c r="I353" i="1" s="1"/>
  <c r="O39" i="1"/>
  <c r="AE140" i="1"/>
  <c r="K287" i="1"/>
  <c r="Q287" i="1" s="1"/>
  <c r="AE309" i="1"/>
  <c r="K313" i="1"/>
  <c r="Q313" i="1" s="1"/>
  <c r="K11" i="1"/>
  <c r="AE18" i="1"/>
  <c r="J29" i="1"/>
  <c r="K39" i="1"/>
  <c r="AE121" i="1"/>
  <c r="O147" i="1"/>
  <c r="N158" i="1"/>
  <c r="J168" i="1"/>
  <c r="O175" i="1"/>
  <c r="AE187" i="1"/>
  <c r="AE274" i="1"/>
  <c r="AE289" i="1"/>
  <c r="AE297" i="1"/>
  <c r="AE258" i="1"/>
  <c r="J278" i="1"/>
  <c r="O11" i="1"/>
  <c r="AE11" i="1"/>
  <c r="N18" i="1"/>
  <c r="AE36" i="1"/>
  <c r="AE39" i="1"/>
  <c r="J138" i="1"/>
  <c r="AE138" i="1" s="1"/>
  <c r="O140" i="1"/>
  <c r="O158" i="1"/>
  <c r="J191" i="1"/>
  <c r="N39" i="1"/>
  <c r="Q194" i="1"/>
  <c r="O289" i="1"/>
  <c r="K29" i="1" l="1"/>
  <c r="Q11" i="1"/>
  <c r="AE191" i="1"/>
  <c r="O191" i="1"/>
  <c r="O168" i="1"/>
  <c r="O353" i="1" s="1"/>
  <c r="AE168" i="1"/>
  <c r="K75" i="1"/>
  <c r="Q75" i="1" s="1"/>
  <c r="Q39" i="1"/>
  <c r="AE278" i="1"/>
  <c r="O278" i="1"/>
  <c r="AE29" i="1"/>
  <c r="AF29" i="1"/>
  <c r="J287" i="1"/>
  <c r="AE287" i="1" s="1"/>
  <c r="J353" i="1" l="1"/>
  <c r="K353" i="1"/>
  <c r="P353" i="1" s="1"/>
  <c r="Q29" i="1"/>
  <c r="J360" i="1" l="1"/>
  <c r="AF353" i="1"/>
</calcChain>
</file>

<file path=xl/sharedStrings.xml><?xml version="1.0" encoding="utf-8"?>
<sst xmlns="http://schemas.openxmlformats.org/spreadsheetml/2006/main" count="1566" uniqueCount="638">
  <si>
    <t>Додаток 1  до Програми</t>
  </si>
  <si>
    <t>Напрями діяльності і заходи реалізації програми</t>
  </si>
  <si>
    <t>№
 з/п</t>
  </si>
  <si>
    <t>Завдання</t>
  </si>
  <si>
    <t>Зміст заходів</t>
  </si>
  <si>
    <t>Термін  виконання</t>
  </si>
  <si>
    <t>Виконавці</t>
  </si>
  <si>
    <t>Джерела  фінансування</t>
  </si>
  <si>
    <t>Орієнтовний обсяг фінансування по роках, тис.грн.</t>
  </si>
  <si>
    <t>Очікуваний 
результат</t>
  </si>
  <si>
    <t>2022 рік</t>
  </si>
  <si>
    <t>2023 рік</t>
  </si>
  <si>
    <t>2024 рік</t>
  </si>
  <si>
    <t>2025 рік</t>
  </si>
  <si>
    <t>2026 рік</t>
  </si>
  <si>
    <t>1. Забезпечення виконання закладами освіти основних функцій по наданню освітніх послуг</t>
  </si>
  <si>
    <t xml:space="preserve">1.1. Забезпечити оплату праці працівникам галузі
</t>
  </si>
  <si>
    <t>1.1.1. Виплачувати заробітну плату працівникам галузі.
 Оплата інструкторів з навчання учнів володіння квадрокоптером .</t>
  </si>
  <si>
    <t>2022-2026 роки</t>
  </si>
  <si>
    <t xml:space="preserve">Департамент освіти </t>
  </si>
  <si>
    <t>державний,
місцевий бюджети,
 інші кошти</t>
  </si>
  <si>
    <t xml:space="preserve">Своєчасна оплата праці працівників бюджетних установ </t>
  </si>
  <si>
    <t>1.1.2.Здійснення  щомісячної доплати педагогічним працівникам закладів загальної середньої освіти за роботу в несприятливих умовах праці за рахунок субвенції з державного бюджету</t>
  </si>
  <si>
    <t>державний бюджет</t>
  </si>
  <si>
    <t>Виплачено щомісячну доплату за несприятливі умові праці педагогічним працівникам ЗЗСО</t>
  </si>
  <si>
    <t>1.1.3.Здійснення  щомісячної доплати педагогічним працівникам закладів дошкільної освіти  за роботу в несприятливих умовах праці за рахунок коштів місцевого бюджету</t>
  </si>
  <si>
    <t>місцевий бюджет</t>
  </si>
  <si>
    <t>Виплачено щомісячну доплату за несприятливі умові праці педагогічним працівникам ЗДО</t>
  </si>
  <si>
    <t>1.1.4.Здійснення  щомісячної доплати педагогічним працівникам закладів позашкільної  освіти  за роботу в несприятливих умовах праці за рахунок коштів місцевого бюджету</t>
  </si>
  <si>
    <t>Виплачено щомісячну доплату за несприятливі умові праці педагогічним працівникам ЗПО</t>
  </si>
  <si>
    <t>1.1.5.Здійснення  щомісячної доплати педагогічним працівникам закладів професійної (професійно-технічної) освіти  за роботу в несприятливих умовах праці за рахунок коштів місцевого бюджету</t>
  </si>
  <si>
    <t>Виплачено щомісячну доплату за несприятливі умові праці педагогічним працівникам ЗПТО</t>
  </si>
  <si>
    <t>1.1.6.Здійснення  щомісячної доплати педагогічним працівникам інших установ та закладів освіти  за роботу в несприятливих умовах праці за рахунок коштів місцевого бюджету</t>
  </si>
  <si>
    <t>Виплачено щомісячну доплату за несприятливі умові праці педагогічним працівникам інших установ та закладів галузі</t>
  </si>
  <si>
    <t>1.2. Забезпечити оплату комунальних послуг та енергоносіїв</t>
  </si>
  <si>
    <t>1.2.1. Забезпечити  оплати тепло-водо - газопостачання, електроенергії, вивіз твердих побутових відходів.
Закупівля пелетів та твердого палива.</t>
  </si>
  <si>
    <t>місцевий  бюджет, 
інші кошти</t>
  </si>
  <si>
    <t>Проведення розрахунків за енергоносії.</t>
  </si>
  <si>
    <t>1.3. Забезпечити виконання  функцій та повноважень департаменту освіти та його структурних підрозділів.</t>
  </si>
  <si>
    <t>1.3.1. Утримувати заклади освіти міста відповідно до мережі, а також департамент освіти та структурні підрозділи департаменту освіти (матеріали, меблі, м`який інвентар, поточні ремонти, транспортні послуги, послуги зв`язку, охоронні  та інші послуги, товари довгостроково-го користування та інше обладнання, підручники, тощо) в тому числі за рахунок депутатських коштів, передбачених для забезпечення потреб виборчого округу(місто, область). 
Поточні ремонти споруд цивільного захисту тимчасових укриттів в навчальних закладах  освіти в умовах воєнного часу.
Створення "класів безпеки" (забезпечення обладнанням ) в ліцеях.</t>
  </si>
  <si>
    <t>місцевий бюджет, 
інші кошти</t>
  </si>
  <si>
    <t>Забезпечено функціонування освітньої мережі</t>
  </si>
  <si>
    <t>Відшкодування збитків, спричинених військовою агресією рф 28.05.2023р.
Створення на базі ліцею №4 м.Житомира дистанційної школи.</t>
  </si>
  <si>
    <t xml:space="preserve"> Матеріально-технічне оснащення кабінетів "Захист України" та опорних шкіл для проведення технічних занять відповідно до навчальної програми (придбання обладнання для кабінету "Захист України", придбання тренажерів, манекенів тощо).
Проведення тренувальних зборів (практичні заняття з прицільної стрільби).
</t>
  </si>
  <si>
    <t>Проведення комплексної експертизи проєкту будівництва "Нове будівництво споруди подвійного призначення (з захисними властивостями протирадіаційного укриття ) на території ліцею№15 міста Житомира за адресою:м.Житомир,вул.Вільський шлях, 261"</t>
  </si>
  <si>
    <t>1.4. Забезпечити заклади медикамен-тами та предметами медичного призна-чення</t>
  </si>
  <si>
    <t>1.4.1. Закупівля лікарських засобів та виробів медичного призначення закладами освіти</t>
  </si>
  <si>
    <t>місцевий бюджет, інші кошти</t>
  </si>
  <si>
    <t>Надання першої невідкладної допомоги</t>
  </si>
  <si>
    <t xml:space="preserve">1.4.2. Закупівля обладнання для медичних кабінетів закладів освіти </t>
  </si>
  <si>
    <t xml:space="preserve">Забезпечено  обладнанням  </t>
  </si>
  <si>
    <t>1.5. Забезпечити відрядження працівників</t>
  </si>
  <si>
    <t>1.5.1. Забезпечення мінімально необхідних освітніх заходів (відрядження)</t>
  </si>
  <si>
    <t>Забезпечено відрядження працівників</t>
  </si>
  <si>
    <t>1.6.Забезпечити безпечний рух дітей у темну пору доби</t>
  </si>
  <si>
    <t>1.6.1.Забезпечення дітей закладів освіти світловідбивними стрічками</t>
  </si>
  <si>
    <t>Забезпечено безпечний рух дітей у темну пору доби</t>
  </si>
  <si>
    <t>1.7.Забезпечити проведення масових заходів</t>
  </si>
  <si>
    <t>1.7.1.Забезпечення інтерактивними дошками заклади загальної середньої освіти та науково-методичний центр для проведення масових заходів</t>
  </si>
  <si>
    <t>Забезпечено інтерактивними дошками для проведення масових заходів</t>
  </si>
  <si>
    <t xml:space="preserve">1.8.Забезпечити озеленення територій закладів  освіти Житомирської міської територіальної громади </t>
  </si>
  <si>
    <t>1.8.1.Забезпечення висаджування дерев на території закладів освіти за рахунок коштів з місцевого фонду охорони навколишнього природного середовища для здійснення природоохоронних заходів</t>
  </si>
  <si>
    <t>Забезпечено відновлення природних ресурсів, поліпшення якості повітря, зменшення рівня шуму,
підвищення біорізноманіття та поліпшення санітарного стану території закладів освіти</t>
  </si>
  <si>
    <t>Разом</t>
  </si>
  <si>
    <t xml:space="preserve"> 2. Дошкільна освіта</t>
  </si>
  <si>
    <t>2.1. Забезпечити реалізацію права дітей на дошкільну освіту</t>
  </si>
  <si>
    <t>2.1.1. Проведення щорічного обліку дітей дошкільного віку.</t>
  </si>
  <si>
    <t>фінансування не потребує</t>
  </si>
  <si>
    <t>Забезпечення якісного прогнозу розвитку мережі ЗДО відповідно до потреб населення</t>
  </si>
  <si>
    <t>2.1.2. Забезпечення гнучкого режиму роботи у закладах дошкільної  освіти відповідно до запитів батьківської громади міста.</t>
  </si>
  <si>
    <t xml:space="preserve">Забезпечення права батьків на врахування потреб їх родин щодо режиму перебування дітей у закладі </t>
  </si>
  <si>
    <t>2.1.3. Проведення соціально-педагогічного патронату сімей із дітьми з особливими освітніми потребами дошкільного віку, які не відвідують ЗДО , та надання консультаційної допомоги родинам.</t>
  </si>
  <si>
    <t>Забезпечення якісної та необхідної допомоги та рекомендацій батькам у сімейному вихованні, які обрали форму здобуття  дошкільної освіти у сім’ї.</t>
  </si>
  <si>
    <t>2.1.4. Залучення батьків до освітнього процесу через партнерську взаємодію педагогів дошкільних закладів та батьків вихованців ( використання інтерактивних форм роботи, інтернет-ресурсів)</t>
  </si>
  <si>
    <t>Забезпечено підготовку дітей до школи</t>
  </si>
  <si>
    <t>2.1.5.Підтримка закладів дошкільної освіти приватної форми власності</t>
  </si>
  <si>
    <t>в межах фінансової спроможності місцевого бюджету</t>
  </si>
  <si>
    <t xml:space="preserve">Надано фінансову підтримку приватним дошкільним закладам  </t>
  </si>
  <si>
    <t>2.1.6. Оплата платних послуг з виховання та утримання дітей з особливими освітніми потребами, які зареєстровані на території Житомирської міської територальної громади та відвідують  Житомирську спеціальну школу №2, Денишівську спеціальну школу та Березівську спеціальну школу Житомирської обласної ради</t>
  </si>
  <si>
    <t>2022 -2024 роки</t>
  </si>
  <si>
    <t>Забезпечено оплату платних послуг спеціальним школам</t>
  </si>
  <si>
    <t>2.2. Розширити мережу закладів дошкільної освіти відповідно до освітніх потреб населення</t>
  </si>
  <si>
    <t xml:space="preserve">2.2.1. Поступове відкриття груп у функціонуючих  закладах дошкільної освіти: 
ЖДНЗ №70 - 1 група, 20 місць,
ЖДНЗ №21- 4 групи, 75 місць
</t>
  </si>
  <si>
    <t>Відновлено 5 груп, збільшено на 95 місць</t>
  </si>
  <si>
    <t xml:space="preserve">2.2.2. Відкриття групових приміщень :
ЖЗДО №38 - 1 група 
ЖЗДО №38 - 1 група
ЖЗДО №34 - 1 група ясельна
ЖЗДО №65 - 1 група
ЖСЗДО №59 - 1 спеціальна  група   </t>
  </si>
  <si>
    <t>Відновлено 5 груп</t>
  </si>
  <si>
    <t xml:space="preserve">2.3.Забезпечити  досягнення оптимальних умов організації харчування дітей в дошкільних навчальних закладах міста </t>
  </si>
  <si>
    <t xml:space="preserve">2.3.1.Забезпечення харчуванням вихованців, дітей пільгових категорій  у закладах дошкільної  освіти згідно з відповідними рішеннями виконавчого комітету Житомирської міської ради  </t>
  </si>
  <si>
    <t>Забезпечення харчуванням дітей в закладах освіти.</t>
  </si>
  <si>
    <t>2.3.2. Підтримка запровадженої системи контролю за якістю харчування НАССР (РЕСЕРТИФІКАЦІЯ)</t>
  </si>
  <si>
    <t>Забезпечення безпеки та якості харчування дітей в закладах дошкільної освіти</t>
  </si>
  <si>
    <t>2.3.3.Оновлення  та закупівля холодильно-технологічного обладнання на харчоблоках закладів дошкільної освіти</t>
  </si>
  <si>
    <t>Оновлено старе енергозатратне холодильно-технологічне обладнання</t>
  </si>
  <si>
    <t>2.3.4.Аналіз організації харчування 
за календарний рік</t>
  </si>
  <si>
    <t>Визначення напрямків роботи для удосконалення процесу організації харчування</t>
  </si>
  <si>
    <t>2.3.5.Забезпечення ремонту вентиляційних систем на харчоблоках та у складських приміщеннях ЗДО</t>
  </si>
  <si>
    <t>Забезпечення санітарних умов в закладах</t>
  </si>
  <si>
    <t>2.3.6.Закупівля пароконвектоматів в закладах дошкільної  освіти (оплата відповідно до договору)</t>
  </si>
  <si>
    <t>Виконання договірних умов</t>
  </si>
  <si>
    <t>2.4. Створити комфортне та безпечне освітнє середовище для виховання та навчання дітей в закладах дошкільної освіти</t>
  </si>
  <si>
    <t>2.4.1. Придбання м`якого інвентаря (матраци, подушки, ковдри, постільна білизна) для ЗДО</t>
  </si>
  <si>
    <t>Забезпечення виконання вимог Санітарного регламенту</t>
  </si>
  <si>
    <t>2.4.2 Забезпечення закладів дошкільної освіти  дитячими меблями</t>
  </si>
  <si>
    <t xml:space="preserve">2.4.3. Придбання посуду на харчоблок ЗДО (кухонний) </t>
  </si>
  <si>
    <t>Забезпечення виконання вимог санітарного регламенту</t>
  </si>
  <si>
    <t>2.4.4. Забезпечення ремонту та придбання тіньових навісів</t>
  </si>
  <si>
    <t>Виконання вимог Санітарного регламенту для дошкільних навчальних закладів.</t>
  </si>
  <si>
    <t>2.4.5. Здійснення заходів по забезпеченню ЗДО гарячим проточним водопостачанням впродовж року (ЗДО №65)</t>
  </si>
  <si>
    <t>Забезпечення гарячою водою дітей</t>
  </si>
  <si>
    <t xml:space="preserve">2.4.6. Проведення  заходів з озеленення, догляду, утримання, охорони зелених насаджень від шкідників та хвороб.
Видалення аварійних насаджень/
прорідження крони. </t>
  </si>
  <si>
    <t>Проведення санітарного обрізання гілок, кронування дерев та видалення  аварійних  зелених насаджень</t>
  </si>
  <si>
    <t xml:space="preserve">2.4.7. Проведення заходів з  утилізації відпрацьованих люмінесцентних ламп </t>
  </si>
  <si>
    <t>За потреби</t>
  </si>
  <si>
    <t>за потреби</t>
  </si>
  <si>
    <t>Забезпечення безпечних умов навчання</t>
  </si>
  <si>
    <t xml:space="preserve">2.4.8. Закупівля контейнерів для збирання  твердих побутових відходів </t>
  </si>
  <si>
    <t>Забезпечення санітарно-епідемічного благополуччя</t>
  </si>
  <si>
    <t xml:space="preserve">2.4.9. Забезпечення зовнішнього освітлення територій закладів </t>
  </si>
  <si>
    <t xml:space="preserve">Виконання вимог п.1. розділу ІІ Санітарного регламенту </t>
  </si>
  <si>
    <t>2.4.10. Проведення ремонтних робіт по відновленню асфальтованого покриття та благоустрою територій закладів дошкільної освіти</t>
  </si>
  <si>
    <t xml:space="preserve">Попередження загрози для життя та здоров’я учасників освітнього процесу </t>
  </si>
  <si>
    <t>2.4.11. Проведення ремонтних робіт по відновленню та заміні огорожі закладів дошкільної освіти</t>
  </si>
  <si>
    <t>2.4.12. Встановлення камер відеоспостереження на території та входах в приміщення ЗДО</t>
  </si>
  <si>
    <t>2.4.13. Організація лабораторних досліджень:
-  піску га наявність яєць гельмінтів (2 рази квітень-жовтень);
- рівня освітленості (не рідше одного разу на рік);
- показників мікроклімату (температура, вологість (не рідше 2 разів на рік);
- якості води плавальних басейнів- якості  води, призначеної для приготування їжі та споживання як питної.</t>
  </si>
  <si>
    <t>Виконання вимог Санітарного регламенту для дошкільних навчальних закладів</t>
  </si>
  <si>
    <t>2.4.14. Заміна обладнання для систем очистки води</t>
  </si>
  <si>
    <t xml:space="preserve">Замінено обладнання системи очистки води </t>
  </si>
  <si>
    <t>2.4.15. Влаштування ресурсних кімнат у ЗДО</t>
  </si>
  <si>
    <t>В межах фінансової спроможності місцевого бюджету
 та коштів з державного бюджету</t>
  </si>
  <si>
    <t>Влаштовано ресурсні кімнати</t>
  </si>
  <si>
    <t>2.4.16. Впровадження  системи фізичної охорони в закладах дошкільної освіти</t>
  </si>
  <si>
    <t>Забезпечено охорону установ в режимі 24/7.</t>
  </si>
  <si>
    <t xml:space="preserve">2.5. Забезпечити модернізацію освітнього середовища
</t>
  </si>
  <si>
    <t>2.5.1. Закупівля предметно-ігрового розвивального обладнання :м'які модулі , настільні розвивальні ігри(рамки-вкладиші, пальчикові лабіринти, шахи тощо),розвиваючі ігри В.Воскобовича,
логічні блоки Дьєнеша, кубики та квадрати Нікітіна, карточки Домана з DYD дисками для розвитку мовлення, палички Кюізенера), великі та малі комплекти ЛЕГО,великі набори атрибутів до сюжетно-рольових ігор</t>
  </si>
  <si>
    <t>Забезпечення повноцінного, змістовного перебування дітей у закладах , цікавого дозвілля для особистісного зростання кожної дитини з урахуванням її фізичних та психічних  можливостей .</t>
  </si>
  <si>
    <t>2.5.2.Поновлення  ігрового та спортивного обладнання на  майданчиках: ліани, стінки для метання та лазіння,  бігові доріжки, атрибути для ігор у футбол, хокей, баскетбол</t>
  </si>
  <si>
    <t>Забезпечення  змістовного  дозвілля  та  повноцінного  фізичного розвитку, формування здорового способу життя</t>
  </si>
  <si>
    <t>2.5.3. Впровадження інноваційної мультимедійної технології в освітній процес (придбання мультимедійного обладнання)</t>
  </si>
  <si>
    <t>Підвищення якості освітніх послуг.</t>
  </si>
  <si>
    <t>2.6. Забезпечити  програмно-методичний супровід з  врахуванням освітніх особливих потреб у навчанні та вихованні кожної дитини,у тому числі дітей з особливими освітніми потребами</t>
  </si>
  <si>
    <t>2.6.1. Постійне оновлення інформаційно-аналітичної бази даних програмно-методичного забезпечення.</t>
  </si>
  <si>
    <t>Забезпечення права педагогів на вільний доступ до інформаційно-аналітичної бази  та на вільний  вибір програм,форм та методів роботи з дітьми</t>
  </si>
  <si>
    <t>2.6.2. Забезпечення комплексними  програмами:
 - парціальними програми;
 - програмами для роботи з дітьми, які мають особливі освітні потреби.</t>
  </si>
  <si>
    <t xml:space="preserve">Забезпечено ефективність та змістовність корекційно-відновлювальної роботи з дітьми , які мають особливі освітні потреби, відповідно до нозологій </t>
  </si>
  <si>
    <t>2.6.3. Постійне оновлення даних освітніх технологій, експериментальної та інноваційної діяльності</t>
  </si>
  <si>
    <t xml:space="preserve">Підвищення рівня ефективності та результативності освітнього процесу.
</t>
  </si>
  <si>
    <t>2.6.4. Участь закладів дошкільної освіти міста у експериментальній діяльності з технологій роботи з дітьми раннього віку</t>
  </si>
  <si>
    <t>Забезпечено оволодіння педагогами новітніми технологіями, передовим педагогічним досвідом з метою більш якісного та результативного досягнення рівня загальних компетентностей дітей в умовах ЗДО.</t>
  </si>
  <si>
    <t>2.6.5. Участь в роботі з дітьми за технологією психолого-педагогічного проектування діяльності дітей, за програмою «Впевнений старт» тощо.</t>
  </si>
  <si>
    <t>2.7. Забезпечити формування різнобічно розвиненої, духовно багатої, оптимістично та патріотично налаштованої особистості</t>
  </si>
  <si>
    <t>2.7.1. Забезпечення проведення занять, сюжетно-рольових ігор, творчих конкурсів, сценаріїв свят з національно-патріотичної тематики</t>
  </si>
  <si>
    <t>Впроваджено національно-патріотичне виховання</t>
  </si>
  <si>
    <t>2.7.2.Розробка тематичних планів роботи ДНЗ з організації національно-патріотичного виховання дошкільників.Проведення заходів за темами : 
-моя сім’я (сімейні традиції, сімейні реліквії,професії в моїй родині тощо);
-моє місто (пейзажі, символи, історичні, культурні і природні пам’ятки, народні промисли);
-моя країна (державні символи, столиця, державні свята; національні костюми )</t>
  </si>
  <si>
    <t>Формування у дитини моральних уподобань і здійснення вчинків, пов’язаних з патріотичною позицією</t>
  </si>
  <si>
    <t>2.8.Забезпечити готовність реагування на загрози життю та здоров'ю учасників освітнього процесу</t>
  </si>
  <si>
    <t xml:space="preserve">2.8.1.Забезпечення навчання працівників закладів дошкільної  освіти щодо надання, у разі необхідності, невідкладної долікарської допомоги </t>
  </si>
  <si>
    <t>2024-2026 роки</t>
  </si>
  <si>
    <t>в межах фінансової спроможності
 місцевого бюджету</t>
  </si>
  <si>
    <t>Отримано  необхідні знання та навички педпрацівниками ЗДО щодо  надання , у разі необхідності , невідкладної долікарської допомоги</t>
  </si>
  <si>
    <t>3. Загальна середня освіта</t>
  </si>
  <si>
    <t>3.1.Забезпечити організацію харчування учнів закладів загальної середньої освіти.
Створити умови для забезпечення організації харчування у шкільних їдальнях</t>
  </si>
  <si>
    <t xml:space="preserve">3.1.1.Забезпечення харчуванням учнів 1-4 класів , дітей пільгових категорій згідно з відповідними рішеннями виконавчого комітету Житомирської міської ради </t>
  </si>
  <si>
    <t>місцевий, державний бюджети,
інші кошти</t>
  </si>
  <si>
    <t xml:space="preserve">Охоплення організованим гарячим харчуванням учнів </t>
  </si>
  <si>
    <t>3.1.2.Забезпечення харчуванням дітей у пришкільних таборах з денним перебуванням</t>
  </si>
  <si>
    <t>місцевий бюджет,
інші кошти</t>
  </si>
  <si>
    <t>Охоплення організованим гарячим харчуванням дітей</t>
  </si>
  <si>
    <t>3.2. Створити умови для забезпечення організації харчування у шкільних їдальнях</t>
  </si>
  <si>
    <t>3.2.1.Придбання та оновлення холодильно-технологічного обладнання у шкільні їдальні</t>
  </si>
  <si>
    <t>місцевий,
державний  бюджети</t>
  </si>
  <si>
    <t>Заміна старого енергозатратного обладнання на сучасне.</t>
  </si>
  <si>
    <t>3.2.2.Закупівля пароконвектоматів в закладах загальної середньої освіти</t>
  </si>
  <si>
    <t>Збереження поживних речовин, вітамінів і мінеральних солей у готових стравах</t>
  </si>
  <si>
    <t>3.2.3. Проведення поточних ремонтів харчоблоків та обідніх залів шкільних їдалень</t>
  </si>
  <si>
    <t>в межах фінансової спроможності місцевого бюджету
 та коштів з державного бюджету</t>
  </si>
  <si>
    <t>Утримання шкільних їдалень відповідно до санітарних умов.</t>
  </si>
  <si>
    <t>3.3.Забезпечити модернізацію освітнього середовища</t>
  </si>
  <si>
    <t xml:space="preserve">3.3.1.Забезпечення кабінетів природничо-математичного цикла  необхідним обладнанням для проведення лабораторних та практичних робіт:
</t>
  </si>
  <si>
    <t>Підвищення якості навчання</t>
  </si>
  <si>
    <t>- наборами  реактивів для кабінетів хімії, посуду для вчителя та учня;</t>
  </si>
  <si>
    <t>Якісне надання освітніх послуг з природничо-математичного циклу</t>
  </si>
  <si>
    <t>- придбання навчальних кабінетів хімії</t>
  </si>
  <si>
    <t>- придбання навчальних кабінетів біології</t>
  </si>
  <si>
    <t>- придбання навчальних кабінетів інформатики</t>
  </si>
  <si>
    <t>- придбання навчальних кабінетів фізики</t>
  </si>
  <si>
    <t>- придбання навчальних кабінетів математики</t>
  </si>
  <si>
    <t>- придбання навчальних кабінетів географії</t>
  </si>
  <si>
    <t>3.3.2. Забезпечення комп'ютерною технікою,інтерактивним обладнанням, сучасним програмним забезпеченням, унаочнення, електронними посібниками .</t>
  </si>
  <si>
    <t xml:space="preserve">3.3.3. Створення медіатек </t>
  </si>
  <si>
    <t>Модернізація  шкільних бібліотек</t>
  </si>
  <si>
    <t>3.3.4. Придбання сучасних меблів (столи, стільці,  парти, дошки тощо)</t>
  </si>
  <si>
    <t>Оновлення застарілих меблів</t>
  </si>
  <si>
    <t>3.3.5. Забезпечення закладів загальної середньої освіти «Програмним забезпеченням» комплексу «Курс: Школа. Комплекс управління ресурсами закладів загальної середньої освіти».</t>
  </si>
  <si>
    <t xml:space="preserve">Управління базою даних навчального закладу, формування навчального плану, автоматичне складання звітів тощо
</t>
  </si>
  <si>
    <t>3.3.6. Забезпечення впровадження проекту "Електронний журнал" .
Закупівля планшетів.</t>
  </si>
  <si>
    <t>Закуплено планшети.</t>
  </si>
  <si>
    <t>3.3.7. Підтримка користування вчителями,батьками та учнями сервісів системи "Електронний журнал". 
Оплата послуг з постачання примірників ліцензованої програмної продукції інформаційно- комунікаційної  автоматизованої системи "Єдина школа "в електронній формі.</t>
  </si>
  <si>
    <t>Забезпечено підтримку користування  сервісів системи "Електронний журнал"</t>
  </si>
  <si>
    <t>3.3.8. Забезпечення покриттям Wi-Fi ЗЗСО</t>
  </si>
  <si>
    <t>Забезпечено безперебійну роботу проекту"Єдина школа"</t>
  </si>
  <si>
    <t>3.3.9. Створення STEM- лабораторій</t>
  </si>
  <si>
    <t>державний, місцевий бюджети</t>
  </si>
  <si>
    <t>Створено STEM- лабораторії</t>
  </si>
  <si>
    <t xml:space="preserve">3.3.10. Придбання інтерактивного мультимедійного середовища з розширеними можливостями лінгафонної лабораторії </t>
  </si>
  <si>
    <t xml:space="preserve">Придбано інтерактивне мультимедійне середовище </t>
  </si>
  <si>
    <t>3.3.11.Закупівля ігрового та спортивного обладнання в рамках реалізації програми «Активний школяр - здорове місто» («Спортивний рух Олександра Педана «ДжуніорZ»)</t>
  </si>
  <si>
    <t>в межах фінансової  спроможності місцевого бюджету</t>
  </si>
  <si>
    <t>Забезпечено повноцінний фізичний розвиток, активна рухова діяльність школярів. Організовано змістовне дозвілля.</t>
  </si>
  <si>
    <t>3.3.12.Забезпечення реалізації програми "Нова українська школа", в т.ч.</t>
  </si>
  <si>
    <t>Забезпечено реалізацію програми "Нова українська школа"</t>
  </si>
  <si>
    <r>
      <t xml:space="preserve">3.3.12.1.  придбання засобів навчання та обладнання, комп'ютерного та мультимедійного обладнання для навчальних кабінетів  </t>
    </r>
    <r>
      <rPr>
        <b/>
        <i/>
        <sz val="24"/>
        <rFont val="Times New Roman"/>
        <family val="1"/>
        <charset val="204"/>
      </rPr>
      <t>закладів загальної середньої освіти</t>
    </r>
  </si>
  <si>
    <r>
      <t xml:space="preserve">3.3.12.2. придбання засобів навчання та обладнання, комп'ютерного та мультимедійного обладнання для навчальних кабінетів </t>
    </r>
    <r>
      <rPr>
        <b/>
        <i/>
        <sz val="24"/>
        <rFont val="Times New Roman"/>
        <family val="1"/>
        <charset val="204"/>
      </rPr>
      <t>пілотних закладів</t>
    </r>
    <r>
      <rPr>
        <b/>
        <i/>
        <u/>
        <sz val="24"/>
        <rFont val="Times New Roman"/>
        <family val="1"/>
        <charset val="204"/>
      </rPr>
      <t xml:space="preserve"> базової  </t>
    </r>
    <r>
      <rPr>
        <b/>
        <i/>
        <sz val="24"/>
        <rFont val="Times New Roman"/>
        <family val="1"/>
        <charset val="204"/>
      </rPr>
      <t>освіти</t>
    </r>
  </si>
  <si>
    <r>
      <t xml:space="preserve">3.3.12.3. придбання  обладнання для  начальних кабінетів природничої, математичної та технологічної освітніх галузей для  </t>
    </r>
    <r>
      <rPr>
        <b/>
        <i/>
        <sz val="24"/>
        <rFont val="Times New Roman"/>
        <family val="1"/>
        <charset val="204"/>
      </rPr>
      <t xml:space="preserve">пілотних  закладів </t>
    </r>
    <r>
      <rPr>
        <b/>
        <i/>
        <u/>
        <sz val="24"/>
        <rFont val="Times New Roman"/>
        <family val="1"/>
        <charset val="204"/>
      </rPr>
      <t>профільної</t>
    </r>
    <r>
      <rPr>
        <b/>
        <i/>
        <sz val="24"/>
        <rFont val="Times New Roman"/>
        <family val="1"/>
        <charset val="204"/>
      </rPr>
      <t xml:space="preserve"> освіти </t>
    </r>
  </si>
  <si>
    <r>
      <t xml:space="preserve">3.3.12.4.створення сучасного освітнього простору шляхом облаштування кабінетів природничо-математичного циклу та STEM-лабораторій в закладах </t>
    </r>
    <r>
      <rPr>
        <b/>
        <i/>
        <u/>
        <sz val="24"/>
        <rFont val="Times New Roman"/>
        <family val="1"/>
        <charset val="204"/>
      </rPr>
      <t>профільної</t>
    </r>
    <r>
      <rPr>
        <i/>
        <sz val="24"/>
        <rFont val="Times New Roman"/>
        <family val="1"/>
        <charset val="204"/>
      </rPr>
      <t xml:space="preserve"> середньої освіти</t>
    </r>
  </si>
  <si>
    <t>2025-2026 роки</t>
  </si>
  <si>
    <t>місцевий бюджети</t>
  </si>
  <si>
    <t>3.3.12.5. поточні ремонти та облаштування сучасного освітнього простору для кабінетів природничо-математичного циклу  та STEM-лабораторій  в закладах профільної освіти:</t>
  </si>
  <si>
    <t>Виконано поточні ремонти кабінетів, закуплнно меблі та інвентар</t>
  </si>
  <si>
    <t xml:space="preserve">- для ліцею №12 міста Житомира імені С.І. Ковальчука </t>
  </si>
  <si>
    <t>- для ліцею №1 міста Житомира</t>
  </si>
  <si>
    <t>3.4. Забезпечити санітарно-епідемічного благополуччя та створення комфортних, безпечних умов у закладах загальної середньої освіти</t>
  </si>
  <si>
    <t xml:space="preserve">3.4.1.Проведення ремонтних робіт з відновлення та заміни огорожі </t>
  </si>
  <si>
    <t>Забезпечення безпечних умов навчання.</t>
  </si>
  <si>
    <t xml:space="preserve">3.4.2. Виконання робіт з асфальтування та благоустрою прибудинкової території </t>
  </si>
  <si>
    <t>Проведення асфальтування та благоустрою прибудинкової території,забезпечення безпечних умов навчання</t>
  </si>
  <si>
    <t xml:space="preserve">3.4.3. Проведення  заходів з озеленення, догляду, утримання, охорони зелених насаджень від шкідників та хвороб </t>
  </si>
  <si>
    <t>3.4.4. Проведення лабораторно-інструментальних досліджень щодо безпечного перебування учнів у закладах</t>
  </si>
  <si>
    <t xml:space="preserve">3.4.5. Проведення заходів з  утилізації відпрацьованих люмінесцентних ламп </t>
  </si>
  <si>
    <t>3.4.6. Відновлення роботи зовнішнього освітлення</t>
  </si>
  <si>
    <t>Забезпечення безпечних умов праці та навчання</t>
  </si>
  <si>
    <t xml:space="preserve">3.4.7. Закупівля контейнерів для збирання  твердих побутових відходів </t>
  </si>
  <si>
    <t>3.4.8. Встановлення камер відеоспостереження на території та входах в приміщення ЗЗСО</t>
  </si>
  <si>
    <t xml:space="preserve">3.4.9.Субвенцію з місцевого бюджету  обласному бюджету Житомирської області  для забезпечення реалізації публічного інвестиційного проєкту на облаштування безпечних умов у закладах , що надають загальну середню освіту (протипожежний захист) на засадах співфінансування </t>
  </si>
  <si>
    <t xml:space="preserve">Збезпечено улаштування систем пожежної сигналізації та систем оповіщення про пожежу,
 здійснення вогнезахисного оброблення конструкцій,
 закупівля первинних засобів пожежогасіння
</t>
  </si>
  <si>
    <t>3.4.10.Поточні ремонти спортивних залів ліцею №21 міста Житомира та ліцею №24 міста Житомира</t>
  </si>
  <si>
    <t>3.5. Забезпечення дистанційної освіти</t>
  </si>
  <si>
    <t>3.5.1. Сформувати умови для запровадження дистанційного навчання в закладах загальної середньої освіти
громади шляхом створення спеціалізованого середовища, яке функціонує на базі сучасних психолого-педагогічних та інформаційно-комунікаційних технологій.</t>
  </si>
  <si>
    <t>Згідно з кошторисом в межах можливостей бюджету</t>
  </si>
  <si>
    <t xml:space="preserve">Забезпечення індивідуалізованого процесу набуття знань, умінь,  і способів пізнавальної діяльності людини, яке відбувається в основному за опосередкованої взаємодії віддалених один від одного учасників навчального процесу </t>
  </si>
  <si>
    <t xml:space="preserve">3.6. Забезпечити виконання щодо академічного рівня повної загальної середньої освіти та професійної освіти на ІІІ ступені навчання.
</t>
  </si>
  <si>
    <t>3.6.1. Реорганізація та створення закладів загальної середньої освіти у відповідності до вимог Закону України «Про освіту»</t>
  </si>
  <si>
    <t xml:space="preserve">Підвищення якості освіти на ІІІ ступені навчання </t>
  </si>
  <si>
    <t xml:space="preserve">3.7. Підтримка приватних закладів на провадження освітньої діяльності у сфері загальної середньої освіти </t>
  </si>
  <si>
    <t>3.7.1. Забезпечення заробітної плати педпрацівників  загальноосвітніх навчальних закладів приватної форми власності</t>
  </si>
  <si>
    <t>Державна  підтримка закладів, 
які не відносяться до комунальної власності міста</t>
  </si>
  <si>
    <t xml:space="preserve">3.7.2.Забезпечення безоплатним харчуванням учнів пільгових категорій приватного християнського ліцею «Сяйво» та  Салезіянського приватного ліцею «Всесвіт» </t>
  </si>
  <si>
    <t>2023- 2024 роки</t>
  </si>
  <si>
    <t>Забезпечено безоплатним харчуванням учнів пільгових категорій приватних закладів</t>
  </si>
  <si>
    <t>3.7.3.Забезпечення  педагогічних працівників   приватного християнського ліцею «Сяйво» ,  Салезіянського приватного ліцею «Всесвіт» та приватного ліцея "Ор Авнер"доплатою за роботу в несприятливих умовах праці</t>
  </si>
  <si>
    <t>Забезпечено педагогічних працівників приватних закладів доплатою за несприятливі умови праці</t>
  </si>
  <si>
    <t xml:space="preserve">3.8.Впровадження національно-патріотичного виховання </t>
  </si>
  <si>
    <t xml:space="preserve">3.8.1. Проведення конкурсів, тематичних виставок дитячої творчості, виконання творчих завдань з національно-патріотичної тематики </t>
  </si>
  <si>
    <t>Утвердження в свідомості і почуттях особистості патріотичних цінностей, переконань і поваги до культурного та історичного минулого України</t>
  </si>
  <si>
    <t>3.8.2. Розробка тематичних планів роботи шкіл з організації національно-патріотичного виховання школярів у позакласній роботі</t>
  </si>
  <si>
    <t>3.8.3. Проведення виховних годин у формі зустрічей з волонтерами, учасниками АТО</t>
  </si>
  <si>
    <t>Національно-патріотичне виховання  учнів.</t>
  </si>
  <si>
    <t>3.9.Забезпечення військово-патріотичного виховання</t>
  </si>
  <si>
    <t>3.9.1. Забезпечення зв'язку з військовими частинами  (екскурсії до музеїв військових частин, спільні заходи патріотичного спрямування)</t>
  </si>
  <si>
    <t>Формування етнічної та національної самосвідомості</t>
  </si>
  <si>
    <t>3.9.2. Залучення офіцерів військових частин, воїнів АТО до проведення навчальних занять  із військової підготовки у закладах освіти</t>
  </si>
  <si>
    <t>Військово-патріотичне виховання учнів.</t>
  </si>
  <si>
    <t>3.9.3. Проведення тематичних заходів, присвячених героїчним подвигам українських воїнів, боротьбі за територіальну цілісність і незалежність України:
- до Дня українського козацтва 
– Дня захисника Вітчизни;
-до дня Соборності України</t>
  </si>
  <si>
    <t>Формування  національної самосвідомості, любові до  рідного краю, народу, держави</t>
  </si>
  <si>
    <t>3.10.Сприяння розвитку наукового спрямування</t>
  </si>
  <si>
    <t>3.10.1.Субвенція загального фонду з місцевого бюджету державному бюджету на виконання програм соціально - економічного розвитку регіонів:
 - Державному університету "Житомирська політехніка" ;
- Житомирському державному університету імені Івана Франка.
 На соціально -економічний розвиток для забезпечення надання освітніх послуг та заохочення молоді до навчання</t>
  </si>
  <si>
    <t>Надано субвенцію Державному університету "Житомирська політехніка" та Житомирському державному університету імені Івана Франка
 для забезпечення надання освітніх послуг та заохочення молоді до навчання.Надано субвенцію з місцевого бюджету Державному універсітету "Житомирська політехніка" на покращення матеріально-технічної бази</t>
  </si>
  <si>
    <t>3.10.2. Субвенція загального фонду з місцевого бюджету державному бюджету на покращення матеріально- технічної бази Державному університету "Житомирська політехніка"</t>
  </si>
  <si>
    <t>3.11.Забезпечити реалізацію права дітей на повну загальну середню освіту</t>
  </si>
  <si>
    <t>3.11.1.Проведення щорічного обліку дітей шкільного віку та учнів</t>
  </si>
  <si>
    <t>Забезпечено якісний прогноз розвитку мережі закладів загальної середньої освіти відповідно  до потреб громади</t>
  </si>
  <si>
    <t>3.11.2. Ведення Реєстру дітей шкільного віку та учнів</t>
  </si>
  <si>
    <t>Забезпечено моніторінг руху учнів протягом року</t>
  </si>
  <si>
    <t>3.11.3.Забезпечення актуальної інформації в Єдиній державній електронній базі з питань освіти</t>
  </si>
  <si>
    <t>Забезпечено достовірну інформацюї про ЗЗСО, організовано замовлення документів про освіту та проведення зовнішнього незалежного оцінювання</t>
  </si>
  <si>
    <t>3.12.Забезпечити готовність реагування на загрози життю та здоров'ю учасників освітнього процесу</t>
  </si>
  <si>
    <t>3.12.1.Створення сприятливих умов для набуття учасниками освітнього процесу знань, умінь та навичок щодо дій у разі виникнення надзвичайної ситуації</t>
  </si>
  <si>
    <t>Забезпечено готовність реагування на загрози життю та здоров'ю учасників освітнього процесу</t>
  </si>
  <si>
    <t xml:space="preserve">3.12.2.Забезпечення навчання працівників закладів загальної середньої освіти щодо надання, у разі необхідності, невідкладної долікарської допомоги </t>
  </si>
  <si>
    <t>2023-2026 роки</t>
  </si>
  <si>
    <t>Отримано  необхідні знання та навички педпрацівниками ЗЗСО щодо  надання, у разі необхідності , невідкладної долікарської допомоги</t>
  </si>
  <si>
    <t>3.13. Підготувати юнаків та юнок до боротьби за свою країну, навчити їх діяти в надзвичайних ситуаціях</t>
  </si>
  <si>
    <t xml:space="preserve">3.13.1.Придбання у Житомирській міській територіальній громаді навчального обладнання для осередків: для учнів 10-11 класів ЗЗСО - 4 осередки на базі  ліцеїв № 1,  № 2,  №12 ,  № 34; для вихованців ЗПТО на базі Державного навчального закладу «Центр легкої промисловості та побутового обслуговування населення м. Житомира» - 1, з метою забезпечення викладання навчального предмета «Захист України»  </t>
  </si>
  <si>
    <t>Зміна шкільного предмета "Захист України" згідно нової програми МОН</t>
  </si>
  <si>
    <t>3.13.2.Поточний ремонт та облаштування  осередків "Захист України"</t>
  </si>
  <si>
    <t>Проведено поточні ремонти в осередках, придбано меблі тощо</t>
  </si>
  <si>
    <t xml:space="preserve">4. Позашкільна освіта </t>
  </si>
  <si>
    <t xml:space="preserve">4.1. Забезпечити рівного доступу дітей та учнівської молоді до якісної позашкільної освіти </t>
  </si>
  <si>
    <t>4.1.1. Утримання на належному рівні та розвиток матеріально- технічної бази закладів позашкільної освіти, що знаходяться у підпорядкуванні департаменту освіти</t>
  </si>
  <si>
    <t>Забезпечення функціонування гуртків та відділень  на належному рівні</t>
  </si>
  <si>
    <t>4.1.2. Оновлення спортивного та тренажерного обладнання в закладах позашкільної освіти  та ДЮСШ</t>
  </si>
  <si>
    <t>Осучаснення спортивного та тренажерного обладнання.</t>
  </si>
  <si>
    <t>4.1.3. Сприянню відкриттю сучасних гуртків/відділень</t>
  </si>
  <si>
    <t>в межах фінансового ресурсу</t>
  </si>
  <si>
    <t>Відкриття сучасних гуртків,відділень.</t>
  </si>
  <si>
    <t xml:space="preserve">4.1.4. Проведення навчально-тренувальних зборів  ДЮСШ </t>
  </si>
  <si>
    <t>Забезпечено навчально-тренувальні збори</t>
  </si>
  <si>
    <t>4.1.5. Забезпечення належних умов для охоплення різними формами позашкільної освіти дітей та молоді з особливими освітніми потребами відповідно до стану здоров`я,їх можливостей та здібностей для навчання.</t>
  </si>
  <si>
    <t>Охоплення позашкільною освітою  дітей та молодь з особливими освітніми потребами</t>
  </si>
  <si>
    <t xml:space="preserve">4.1.6. Забезпечення співпраці закладів позашкільної освіти із закладами дошкільної та загальної середньої освіти щодо реалізації Стратегії національно-патріотичного виховання на 2020-2025 роки </t>
  </si>
  <si>
    <t>Виконання заходів щодо реалізації Стратегії національно-патріотичного виховання на 2020-2025 роки</t>
  </si>
  <si>
    <t>4.1.7. Проведення організаційно-методичних заходів із педагогічними працівниками закладів дошкільної та загальної середньої освіти з метою максимального охоплення дітей та учнівської молоді позашкільною освітою</t>
  </si>
  <si>
    <t>Збільшення кількості дітей та учнівської молоді , охоплених позашкільною освітою</t>
  </si>
  <si>
    <t>4.2. Створити умови для пошуку й підтримки талановитих і обдарованих дітей</t>
  </si>
  <si>
    <t>4.2.1. Забезпечення участі вихованців закладів позашкільної освіти у Всеукраїнських, міжнародних конкурсах/змаганнях,фестивалях тощо</t>
  </si>
  <si>
    <t>Творча самореалізація учнівської молоді</t>
  </si>
  <si>
    <t>4.3. Забезпечити санітарно-епідемічного благополуччя та створення комфортних, безпечних умов у закладах позашкільної  освіти</t>
  </si>
  <si>
    <t xml:space="preserve">4.3.1. Проведення  заходів з озеленення, догляду, утримання, охорони зелених насаджень від шкідників та хвороб </t>
  </si>
  <si>
    <t>Проведення санітарного  обрізання гілок, кронування дерев та видалення  аварійних  зелених насаджень</t>
  </si>
  <si>
    <t xml:space="preserve">4.3.2. Виконання робіт з асфальтування та благоустрою прибудинкової території </t>
  </si>
  <si>
    <t>Проведення асфальтування та благоустрію прибудинкової території</t>
  </si>
  <si>
    <t xml:space="preserve">4.3.3. Проведення заходів з  утилізації відпрацьованих люмінесцентних ламп </t>
  </si>
  <si>
    <t xml:space="preserve">4.3.4. Закупівля контейнерів для збирання  твердих побутових відходів </t>
  </si>
  <si>
    <t>4.3.5. Проведення лабораторних досліджень відповідно до вимог Санітарного регламенту в закладах позашкільної освіти та дитячо-юнацькій спортивній школі</t>
  </si>
  <si>
    <t>4.3.6. Встановлення камер відеоспостереження на території та входах в приміщення ЗПО</t>
  </si>
  <si>
    <t>4.3.7. Забезпечення зовнішнього освітлення територій закладів позашкільної освіти</t>
  </si>
  <si>
    <t>4.4.Забезпечити готовність реагування на загрози життю та здоров'ю учасників освітнього процесу</t>
  </si>
  <si>
    <r>
      <t>4.4.1.Забезпечення навчання працівників закладів позашкільної</t>
    </r>
    <r>
      <rPr>
        <u/>
        <sz val="24"/>
        <rFont val="Times New Roman"/>
        <family val="1"/>
        <charset val="204"/>
      </rPr>
      <t xml:space="preserve"> </t>
    </r>
    <r>
      <rPr>
        <sz val="24"/>
        <rFont val="Times New Roman"/>
        <family val="1"/>
        <charset val="204"/>
      </rPr>
      <t xml:space="preserve">освіти та ДЮСШ щодо надання, у разі необхідності, невідкладної долікарської допомоги </t>
    </r>
  </si>
  <si>
    <t>Отримано  необхідні знання та навички педпрацівниками ЗПО щодо  надання , у разі необхідності , невідкладної долікарської допомоги</t>
  </si>
  <si>
    <t>5. Професійно-технічна освіта</t>
  </si>
  <si>
    <t>5.1. Забезпечити необхідних умов функціонування і розвитку закладів професійно - технічної  освіти</t>
  </si>
  <si>
    <t>5.1.1. Надання послуг з підготовки кваліфікованих робітників закладами  професійної (професійно-технічної освіти) за регіональним замовленням</t>
  </si>
  <si>
    <t>Створено належні умови для з підготовки кваліфікованих робітників</t>
  </si>
  <si>
    <t>5.1.2. Забезпечення надання освітніх послуг за рахунок власних надходжень (заробітна плата, медикаменти,харчування, енергоносії, поточне утримання, стипендія, забезпечення дітей сиріт та позбавлених батьківського піклування  відповідно до чинного законодавства,капітальні видатки тощо)  закладами професійної освіти</t>
  </si>
  <si>
    <t>інші кошти</t>
  </si>
  <si>
    <t>Забезпечено надання освітніх послуг за рахунок власних надходжень</t>
  </si>
  <si>
    <r>
      <t xml:space="preserve">5.1.3. </t>
    </r>
    <r>
      <rPr>
        <b/>
        <sz val="24"/>
        <rFont val="Times New Roman"/>
        <family val="1"/>
        <charset val="204"/>
      </rPr>
      <t>Створення  навчально-практичних центрів сучасної професійно - технічної освіти:</t>
    </r>
    <r>
      <rPr>
        <sz val="24"/>
        <rFont val="Times New Roman"/>
        <family val="1"/>
        <charset val="204"/>
      </rPr>
      <t xml:space="preserve"> 
- навчально-практичний центр з професії "Електрозварник",
"Електрозварник автоматичних та напівавтоматичних машин", "Слюсар із складання металевих конструкцій", "Газозварник", "Газорізальник" на базі ДНЗ "Житомирське вище професійне технологічне училище".
- навчально-практичний центр з професій "Верстатник широкого профілю", "Токар", "Фрезерувальник","Оператор верстатів з програмним керуванням " на базі Професійного технологічного коледжу міста Житомира.
</t>
    </r>
  </si>
  <si>
    <t>державний бюджет, місцевий бюджет</t>
  </si>
  <si>
    <t>в межах державної субвенції за умови співфінансування</t>
  </si>
  <si>
    <t>Створення умов  для  здобуття   професійно-технічної   освіти належної якості</t>
  </si>
  <si>
    <t>Створено сучасні навчально-практичні центри .</t>
  </si>
  <si>
    <t xml:space="preserve">створено навчально-практичний центр сучасної професійної (професійно-технічної) освіти) на базі Державного навчального закладу "Житомирське вище професійне технологічне училище" з професій - "Електрогазозварник", "Електрогазозварник на автоматичних та напівавтоматичних машинах", "Слюсар із складання металевих конструкцій", </t>
  </si>
  <si>
    <t>5.1.4. Створення ефективної  та  гнучкої  системи підготовки робітничих кадрів,  орієнтовану на задоволення потреби ринку праці в  повному обсязі</t>
  </si>
  <si>
    <t>Підготовлено робітничі кадри  з врахуванням потреб ринку праці</t>
  </si>
  <si>
    <t>5.1.5. Інформування населення щодо попиту на професії через різні канали комунікації</t>
  </si>
  <si>
    <t>Підвищено престижу робітничих професій</t>
  </si>
  <si>
    <t xml:space="preserve">5.1.6.Оновлення (модернізація) матеріально-технічної бази,проведення ремонтних робіт в  закладах професійної (професійно- технічної) освіти </t>
  </si>
  <si>
    <t>Забезпечено професійну реалізацію здобувачів робітничих професій, задоволення потреб ринку праці</t>
  </si>
  <si>
    <t>5.1.7.Влаштування вентиляційної системи в укритті та приміщеннях  Професійного коледжу технічних інновацій міста Житомира</t>
  </si>
  <si>
    <t>Влаштовано вентиляційну систему</t>
  </si>
  <si>
    <t>6. Науково-методичний супровід розвитку системи освіти.</t>
  </si>
  <si>
    <t xml:space="preserve">6.1.Забезпечити науково-методичної роботи.
</t>
  </si>
  <si>
    <t>6.1.1. Виготовлення фільмів про освітній простір  Житомирської територіальної громади</t>
  </si>
  <si>
    <t>Популяризація історичних постатей громади</t>
  </si>
  <si>
    <t>6.1.2. Виготовлення документальних художніх відеороликів (Борис Тен,                         С. Ріхтер)</t>
  </si>
  <si>
    <t>Виготовлено документальні відеоролики</t>
  </si>
  <si>
    <t>6.1.3. Виготовлення друкованої продукції.</t>
  </si>
  <si>
    <t>Популяризація передового педагогічного досвіду ЗДО, ЗЗСО, ЗПО</t>
  </si>
  <si>
    <t xml:space="preserve">6.4. Забезпечення обміну досвідом з педагогічними колективами регіону та інших областей (забезпечення проведення семінарів, тренінгів(оренда приміщень, транспортні послуги). 
</t>
  </si>
  <si>
    <t>Вивчення та впровадження новітніх педагогічних технологій в освітній процес ЗДО, ЗЗСО, ЗПО</t>
  </si>
  <si>
    <t>6.5. Сприяння  участі інтелектуально і творчо обдарованих педагогічних працівників у Міжнародних конкурсах, фестивалях, педагогічних читаннях, конференціях, проектах тощо (відрядження)</t>
  </si>
  <si>
    <t>Популяризація системи роботи освіти  Житомирської територіальної громади  на Всеукраїнському та Міжнародному рівнях</t>
  </si>
  <si>
    <t>7. Інклюзивно-ресурсні центри. Освіта осіб з особливими освітніми потребами.</t>
  </si>
  <si>
    <t>7.1. Забезпечити функціонування інклюзивно-ресурсних центрів</t>
  </si>
  <si>
    <t>7.1.1. Придбання методичного, навчального та програмного забезпечення тощо для інклюзивно-ресурсних центрів</t>
  </si>
  <si>
    <t>Державний бюджет</t>
  </si>
  <si>
    <t>Надання психолого-педагогічної допомоги дітям з особливими освітніми потребами</t>
  </si>
  <si>
    <t xml:space="preserve">7.2. Забезпечити ефективну діяльність інклюзивно-ресурсних центрів у частині організації корекційно-розвит-кової роботи з дітьми дошкільного та шкільного віку в умовах інклюзивного навчання </t>
  </si>
  <si>
    <t>7.2.1. Проведення комплексної психолого-педагогічної оцінки розвитку дитини та здійснювати системний кваліфікований супровід осіб з особливими освітніми потребами протягом перебування дитини у закладах загальної середньої та дошкільної  освіти</t>
  </si>
  <si>
    <t xml:space="preserve">Забезпечено  корекційно-розвиткової роботи з дітьми дошкільного та шкільного віку в умовах інклюзивного навчання </t>
  </si>
  <si>
    <t>7.2.2. Забезпечення рекомендаціями команди супроводу у закладах загальної середньої та дошкільної освіти  щодо розроблення індивідуальної програми розвитку дітей з особливими освітніми потребами</t>
  </si>
  <si>
    <t>7.2.3. Забезпечення консультаціями батьків, інших законних представників особи з особливими освітніми потребами щодо особливостей її розвитку</t>
  </si>
  <si>
    <t>7.2.4.Забезпечення корекційно-розвитковими заняттями дітей з особливими освітніми потребами раннього та дошкільного віку, які не відвідують заклади дошкільної освіти та дітям, які здобувають освіту у формі педагогічного патронажу</t>
  </si>
  <si>
    <t xml:space="preserve">7.2.5.Участь педагогічних фахівців ІРЦ:
у діяльності команди психолого-педагогічного супроводу особи з особливими освітніми потребами;
у семінарах, тренінгах, майстер-класах для підвищення кваліфікації педагогічних працівників, обміну досвідом тощо
</t>
  </si>
  <si>
    <t>7.3. Забезпечити підтримку осіб з особливими освітніми потребами</t>
  </si>
  <si>
    <t>7.3.1. Проведення додаткових корекційно-розвиткових занять,придбання спеціальних засобів корекції психофізичного розвитку, що дають змогу учню опанувати навчальну програму в  закладах загальної середньої освіти</t>
  </si>
  <si>
    <t>Проведено фахівцями  додаткові корекційні заняття .Закуплено спеціальні засоби корекції психофізичного розвитку, що дають змогу учню та вихованцю опанувати навчальну програму в  закладах загальної середньої та дошкільної освіти</t>
  </si>
  <si>
    <t>7.3.2. Проведення додаткових корекційно-розвиткових занять,придбання спеціальних засобів корекції психофізичного розвитку, що дають змогу  опанувати навчальну програму дітям, які здобувають освіту в інклюзивних групах закладів дошкільної освіти</t>
  </si>
  <si>
    <t>7.3.3.Проведення додаткових корекційно-розвиткових занять для учнів інклюзивних класів  в  закладах загальної середньої освіти за рахунок коштів місцевого бюджету</t>
  </si>
  <si>
    <t>Проведено додаткові корекційно- розвиткові заняття</t>
  </si>
  <si>
    <t>7.3.4.Проведення додаткових корекційно-розвиткових занять для дітей які здобувають освіту в інклюзивних групах закладів дошкільної освіти за рахунок коштів місцевого бюджету</t>
  </si>
  <si>
    <t>7.3.5.Проведення додаткових корекційно-розвиткових занять для учнів інклюзивних класів  Салезіянського приватного ліцею "Всесвіт" та Житомирського приватного християнського ліцею "Сяйво" за рахунок коштів місцевого бюджету.</t>
  </si>
  <si>
    <t>2023-2024  роки</t>
  </si>
  <si>
    <t>Проведено додаткові корекційно- розвиткові заняття для учнів інклюзивних класів приватних ліцеїв</t>
  </si>
  <si>
    <t>7.4. Забезпечити права дітей із особливими освітніми потребами щодо здобуття ними  якісної освіти</t>
  </si>
  <si>
    <t>7.4.1. Розширення мережі інклюзивних класів , груп у  закладах загальної середньої та дошкільної  освіти.</t>
  </si>
  <si>
    <t>відповідно до кошторисних призначень</t>
  </si>
  <si>
    <t xml:space="preserve">Забезпечення дітей з обмеженими фізичними можливостями  у якісній освіті   </t>
  </si>
  <si>
    <t>7.4.2. Здійснення моніторингу стану впровадження інклюзивної освіти та навчальних досягнень учнів в умовах інклюзивного навчання</t>
  </si>
  <si>
    <t xml:space="preserve">Визначення провідних напрямків спеціальної освіти в місті </t>
  </si>
  <si>
    <t>7.5. Забезпечити безперешкодного доступу до будівель, приміщень закладів галузі особам з особливими освітніми потребами</t>
  </si>
  <si>
    <t>7.5.1.Встановлення пандусів у відповідності до норм (виготовлення ПКД та ремонтні роботи)</t>
  </si>
  <si>
    <t>Забезпечення доступних умов для учасників освітнього процесу</t>
  </si>
  <si>
    <t xml:space="preserve">8. Підтримка дітей-сиріт і дітей,  позбавлених батьківського піклування </t>
  </si>
  <si>
    <t>8.1. Забезпечити соціальну підтримку дітей-сиріт та дітей, позбавленим батьківського піклування</t>
  </si>
  <si>
    <t>8.1.1.Надавати одноразову допомогу дітям-сиротам і дітям, позбавленим батьківського  піклування, після досягнення ними  18-річного віку</t>
  </si>
  <si>
    <t xml:space="preserve">Забезпечення соціальної підтримки  дітей-сиріт  і дітей, позбавлених батьківського піклування </t>
  </si>
  <si>
    <t xml:space="preserve">8.1.2.Виплачувати грошову компенсацію дітям-сиротам і дітям, позбавленим  батьківського піклування, які  перебувають  під  опікою  (піклуванням),  для придбання шкільної та спортивної форми на період навчання у закладі загальної середньої освіти.  </t>
  </si>
  <si>
    <t>Забезпечення соціальної підтримки  дітей-сиріт  та дітей, позбавлених батьківського піклування відповідно до чинного законодавства</t>
  </si>
  <si>
    <t xml:space="preserve">8.1.3.Виплачувати грошову компенсацію дітям-сиротам і дітям, позбавленим  батьківського піклування (випускникам закладів загальної середньої освіти ), для придбання нового комплекту одягу та взуття, грошову допомогу </t>
  </si>
  <si>
    <t>8.1.4.Виплачувати одноразову грошову допомогу дітям-сиротам і дітям, позбавленим  батьківського піклування(випускникам закладів загальної середньої освіти)  в розмірі 6-ти прожиткових мінімумів</t>
  </si>
  <si>
    <t>8.1.5.Забезпечити індивідуальний соціально-психологічний супровід дітей-сиріт і дітей, позбавлених батьківського  піклування.</t>
  </si>
  <si>
    <t>Розвиток позитивної «Я -концепції» дітей зазначеної категорії</t>
  </si>
  <si>
    <t>8.1.6.Створити соціальні паспорти закладів дошкільної та загальної середньої освіти.</t>
  </si>
  <si>
    <t>Раннє виявлення дітей родин, які потребують психолого-педагогічного супроводу</t>
  </si>
  <si>
    <t>9. Підтримка обдарованих  дітей та молоді</t>
  </si>
  <si>
    <t>9.1.Забезпечити  заохочення обдарованих дітей та молоді та  розвитку  їх творчого потенціалу</t>
  </si>
  <si>
    <t>9.1.1Виплата  грантів міського голови</t>
  </si>
  <si>
    <t xml:space="preserve">Забезпечення участі учнів у Міжнародних, Всеукраїнський, регіональних проектах та конкурсах,
фестивалях </t>
  </si>
  <si>
    <t>9.1.2.Виплата стипендій учням переможцям олімпіад, МАН, конкурсів  всіх рівнів.</t>
  </si>
  <si>
    <t>Посилення мотивації 
навчально-пізнавальної діяльності</t>
  </si>
  <si>
    <t>9.1.3.Відзначення переможців міського етапу Всеукраїнського конкурсу захисту учнівських робіт МАН,обласних,всеукраїнських турнірів,змагань.</t>
  </si>
  <si>
    <t>Заохочення учнівської молоді до участі в інтелектуальних змаганнях</t>
  </si>
  <si>
    <t>9.1.4.Виплата стипендій вихованцям ШХМ «Сонечко»</t>
  </si>
  <si>
    <t>Підтримка творчо обдарованої молоді</t>
  </si>
  <si>
    <t>9.1.5.Виплата стипендій переможцям загальноміського конкурсу "Обдарованість року"</t>
  </si>
  <si>
    <t>Виявлення, підтримка обдарованих дітей з метою подальшого супроводу, що забезпечить вільний, всебічний розвиток особистості</t>
  </si>
  <si>
    <t>9.1.6.Відзначення переможців обласного етапу турнірів з навчальних дисциплін</t>
  </si>
  <si>
    <t>Підвищення самооцінки та самоудосконалення учнів при використанні ІКТ як засобу самоосвіти</t>
  </si>
  <si>
    <t xml:space="preserve">9.1.7.Забезпечення  нагородження обдарованих дітей і молоді у Всеукраїнських турнірах </t>
  </si>
  <si>
    <t>Створення додаткових умов та заохочення учнів до участі у турнірах з предметних дисциплін</t>
  </si>
  <si>
    <t>9.1.8.Забезпечення нагородження кращих дитячих мистецьких колективів</t>
  </si>
  <si>
    <t>Підтримка вихованців-переможців позашкільних навчальних закладів</t>
  </si>
  <si>
    <t>9.1.9.Публікація творів і робіт обдарованих учнів</t>
  </si>
  <si>
    <t>Популяризація дитячої творчості</t>
  </si>
  <si>
    <t>9.1.10. Відзначення переможців міського конкурсу ІТ технологій.</t>
  </si>
  <si>
    <t>Застосування і використання інноваційних ІТ технологій в сучасному житті школярів</t>
  </si>
  <si>
    <t>9.2.Забезпечити участі обдарованих дітей та молоді у  всеукраїнських , обласних та міжнародних конкурсах, змаганнях, олімпіадах</t>
  </si>
  <si>
    <t>9.2.1.Забезпечення проведення інтелектуальних ігор, конкурсів, турнірів, фестивалів та інших заходів  всіх рівнів за різними напрямками  роботи. Забезпечення оплати участі, проїзду та проживання  обдарованих дітей і молоді,  їх нагородження.</t>
  </si>
  <si>
    <t>Забезпечення умов участі у Міжнародних змаганнях</t>
  </si>
  <si>
    <t>9.2.2.Забезпечення відрядження учнівських команд для участі у Всеукраїнських та міжнародних інтелектуальних іграх.</t>
  </si>
  <si>
    <t>Реалізація здібностей особистості</t>
  </si>
  <si>
    <t>9.2.3.Залучення школярів до участі в "Інтернет - олімпіадах" з базових і профільних дисциплін</t>
  </si>
  <si>
    <t>Уміння використовувати інтернет ресурсів для якісного тестування знань з предметних дисциплін</t>
  </si>
  <si>
    <t>9.3.Забезпечити проведення загальноміських конкурсів,змагань</t>
  </si>
  <si>
    <t>9.3.1.Забезпечення проведення загальноміського конкурсу "Обдарованість року"</t>
  </si>
  <si>
    <t>Виявлення інтелектуально, художньо, спортивно творчих особистостей</t>
  </si>
  <si>
    <t>9.3.2.Сприяння в організації та проведенні міжшкільних та міжвузівських конференцій, семінарів, творчих конкурсів учнівської та студентської молоді з метою виявлення, підтримки та заохочення найбільш обдарованих і перспективних їх учасників</t>
  </si>
  <si>
    <t xml:space="preserve">Набуття досвіду учнями ЗЗСО,ЗПО щодо організації, участі в наукових, навчальних заходах різних рівнів </t>
  </si>
  <si>
    <t>9.3.3.Продовження практики проведення міських оглядів-конкурсів творчих робіт учнів, спортивних змагань,нагородження переможців</t>
  </si>
  <si>
    <t>Розвиток творчо обдарованої молоді та профорієнтація старшокласників, Підтримка молодіжних ініціатив та самореалізація особистості</t>
  </si>
  <si>
    <t>9.4.Забезпечити ранню та постійну діагностику та виявлення нових талантів і обдарувань</t>
  </si>
  <si>
    <t>9.4.1.Забезпечення постійного патронату психолого-педагогічної служби над обдарованими дітьми та молоддю з метою ранньої і постійної діагностики та своєчасного виявлення юних талантів і обдарувань</t>
  </si>
  <si>
    <t>Психологічний супровід обдарованої дитини</t>
  </si>
  <si>
    <t>9.4.2.Забезпечення функціонування мережі міжшкільних факультативів з метою виявлення та підготовки обдарованих дітей</t>
  </si>
  <si>
    <t>Заохочення учнівської молоді до підготовки вибору майбутньої професії</t>
  </si>
  <si>
    <t>9.4.3.Розробка та впровадження системи раннього і поетапного виявлення обдарованих дітей у дитячих навчальних закладах та загальноосвітніх закладах міста</t>
  </si>
  <si>
    <t>Розвиток обдарованості з раннього віку</t>
  </si>
  <si>
    <t>9.5.Забезпечити залучення молоді до активної участі у громадському, культурному , соціальному житті міста</t>
  </si>
  <si>
    <t>9.5.1.Забезпечення організації та проведення школи Житомирської міської ради старшокласників "Виконком майбутнього"</t>
  </si>
  <si>
    <t>Залучення молоді до активної участі у громадському, культурному, соціальному житті міста</t>
  </si>
  <si>
    <t>9.6.Забезпечити участь обдарованих дітей у Міжнарод-них науково-технічних виставках</t>
  </si>
  <si>
    <t>9.6.1. Забезпечити участь учня 9 класу ліцею №30 м.Житомира  у Міжнародній науково-технічній виставці Regeneron ISEF ( Даллас, США)</t>
  </si>
  <si>
    <t>Забезпечено участь учня у Міжнародній науково-технічній виставці Regeneron ISEF</t>
  </si>
  <si>
    <t>9.6.2. Забезпечити участь учнів у Міжнародних науково, технічних виставках тощо</t>
  </si>
  <si>
    <t>Забезпечено участь учнів у Міжнародних науково, технічних виставкаї тощо</t>
  </si>
  <si>
    <t>10. Підтримка педпрацівників та педагогічних колективів</t>
  </si>
  <si>
    <t>10.1.Забезпечити заохочення педагогічних працівників, керівників закладів, педагогічних колективів.</t>
  </si>
  <si>
    <t>10.1.1.Виплата винагороди переможцям та лауреатам міського фестивалю "Мати. Родина. Україна"</t>
  </si>
  <si>
    <t>Підтримка педагогічних колективів, що проводять заходи художньо-естетичного та національно-патріотичного напрямку</t>
  </si>
  <si>
    <t>10.1.2.Преміювання переможців  регіональних конкурсів «Учитель року», «Класний керівник», «Джерела творчості», «Директор школи», «Вихователь року»</t>
  </si>
  <si>
    <t>Підтримка переможців національних конкурсів</t>
  </si>
  <si>
    <t>10.1.3.Премїі, винагороди, гранти (міського голови та департаменту освіти) педагогічним  працівникам, керівникам  навчальних закладів громади</t>
  </si>
  <si>
    <t>Стимулювання
 педпрацівників</t>
  </si>
  <si>
    <t>10.1.4.Відзначення вчителів, керівників навчальних закладів  за інноваційну діяльність</t>
  </si>
  <si>
    <t xml:space="preserve">Заохочення вчителів, керівників навчальних закладів за інноваційну діяльність </t>
  </si>
  <si>
    <t>10.1.5.Виплата винагороди вчителям, які підготували переможців Всеукраїнського конкурсу захисту учнівських робіт МАН, турнірів з базових дисциплін, олімпіад.</t>
  </si>
  <si>
    <t>Заохочення вчителів щодо підготовки школярів до участі в інтелектуальних конкурсах</t>
  </si>
  <si>
    <t>10.1.6.Винагорода вчителів, які підготували переможців IT регіональних ,  всеукраїнських, міжнародних конкурсів.</t>
  </si>
  <si>
    <t>Заохочення вчителів</t>
  </si>
  <si>
    <t>10.1.7.Нагородження керівників, які якісно підготовили заклад до початку навчального року</t>
  </si>
  <si>
    <t>Якісна підготовка освітніх закладів до нового навчального року</t>
  </si>
  <si>
    <t>10.1.8.Виплата винагороди керівникам гуртків, які отримали перемогу на обласному, Всеукраїнському та Міжнародних рівнях</t>
  </si>
  <si>
    <t>Заохочення керівників гуртків</t>
  </si>
  <si>
    <t>10.1.9.Нагородження переможців регіонального та всеукраїнського конкурсів авторських (профілактичних, корекційно-розвиткових, розвивальних та просвітницьких) програм практичних психологів і соціальних педагогів.</t>
  </si>
  <si>
    <t>Виявлення та поширення кращих авторських програм практичних психологів і соціальних педагогів</t>
  </si>
  <si>
    <t>10.1.10.Забезпечення нагородження педагогів за високі результати участі учнів у ЗНО поточного року</t>
  </si>
  <si>
    <t>Забезпечено нагородження педагогів за високі результати участі учнів у ЗНО поточного року</t>
  </si>
  <si>
    <t>10.2. Забезпечити поширення серед педагогічних працівників новітніх інноваційних методик навчання та викладання</t>
  </si>
  <si>
    <t>10.2.1.Інформаційно-методичне забезпечення запровадження нових науково-теоретичних засад та спеціальних методик виявлення, розвитку та підтримки творчо-працюючих вчителів</t>
  </si>
  <si>
    <t>Поширення серед педагогічних працівників новітніх інноваційних методик</t>
  </si>
  <si>
    <t>10.2.2.Спрямування постійно діючого методичного та психологічного супроводу вчителів на виявлення та поширення досвіду навчально-виховної роботи освітян міста</t>
  </si>
  <si>
    <t>Презентація та поширення досвіду 
педагогів міста на регіональному та Всеукраїнському рівнях</t>
  </si>
  <si>
    <t>10.2.3.Забезпечення поповнення міського інформаційного банку передового педагогічного досвіду.</t>
  </si>
  <si>
    <t>Доступність досвіду педагогічних працівників громади для освітянської спільноти України</t>
  </si>
  <si>
    <t xml:space="preserve">10.3. Забезпечити організацію та проведення міських конкурсів та заходів  </t>
  </si>
  <si>
    <t>10.3.1.Проведення міського конкурсу авторських (профілактичних, корекційно-розвиткових, розвивальних та просвітницьких) програм практичних психологів і соціальних педагогів, нагородження переможців закладів освіти</t>
  </si>
  <si>
    <t>10.3.2. Проведення конкурсу на кращу освітню програму серед закладів дошкільної освіти.</t>
  </si>
  <si>
    <t>Вибір інноваційних форм навчання та виховання та підвищення якості освіти в ЗДО</t>
  </si>
  <si>
    <t>10.3.3. Проведення семінарів, практичних занять, "круглих столів", науково-практичних конференцій щодо організації роботи з обдарованими дітьми, студентською молоддю на семінарах підвищення кваліфікації вчителів, керівників навчальних та позашкільних закладів, методичних об'єднаннях, консультаціях для учнів, батьків з проблем розвитку здібностей учнівської молоді</t>
  </si>
  <si>
    <t>Напрацювання системи роботи з обдарованими дітьми</t>
  </si>
  <si>
    <t xml:space="preserve">10.4. Продовжити поширення передового педагогічного  досвіду </t>
  </si>
  <si>
    <t>10.4.1.Проведення тематичних оглядів науково-методичної літератури, матеріалів фахових видань та періодичної преси</t>
  </si>
  <si>
    <t>Застосування педагогами сучасної методичної, дидактичної літератури</t>
  </si>
  <si>
    <t>10.4.2.Продовження практики організації співробітництва з вищими навчальними закладами України, Європи</t>
  </si>
  <si>
    <t>Науково-методичний супровід освітнього процесу вищими навчальними закладами</t>
  </si>
  <si>
    <t>10.4.3.Пропаганда найкращого досвіду роботи вчителів-новаторів, психологів, класних керівників, вчителів-предметників, керівників гуртків, адміністрації шкіл, керівників шкіл, педагогічних колективів</t>
  </si>
  <si>
    <t>Поширення передового педагогічного досвіду освітян Житомирської територіальної громади</t>
  </si>
  <si>
    <t>10.4.4.Запровадження практики проведення науково-популярних програм, зустрічей з учнями, батьками, громадськістю з питань роботи передового педагогічного досвіду освітян міста</t>
  </si>
  <si>
    <t>Ознайомлення батьків, громадськості з питанням щодо освіти дітей від 3-х до 18 років в навчальних закладах міста</t>
  </si>
  <si>
    <t>10.4.5.Забезпечення роботи науково-методичних кафедр, практичних семінарів, "круглих столів", творчих груп тощо при науково-методичному центрі</t>
  </si>
  <si>
    <t xml:space="preserve">Активізація різноманітних форм просвітницької діяльності серед педпрацівників. </t>
  </si>
  <si>
    <t>10.5. Забезпечити співпрацю з громадськими організаціями та творчими об'єднаннями .</t>
  </si>
  <si>
    <t>10.5.1.Забезпечення підтримки програм громадських організацій, творчих об'єднань, спрямованих на підвищення освітнього рівня педагогічних працівників, створення умов для участі найталановитіших із них у відродженні та розвитку духовних цінностей українського народу, співпраця з громадськими організаціями</t>
  </si>
  <si>
    <t>Залучення громадської спільноти до вирішення питань сучасної освіти</t>
  </si>
  <si>
    <t xml:space="preserve">10.6.Забезпечити участь педагогічних працівників у роботі Міжнародних, Всеукраїнських інтелектуальних конкурсах, олімпіадах, турнірах </t>
  </si>
  <si>
    <t>10.6.1.Забезпечення відряджень вихователів, вчителів, керівників гуртків, керівників  закладів освіти у заходах МОН України</t>
  </si>
  <si>
    <t>Участь у роботі журі Міжнародних, Всеукраїнських інтелектуальних конкурсах, олімпіадах, турнірах</t>
  </si>
  <si>
    <t>11. Підвищення кваліфікації педагогічних працівників,членів адміністрації, бібліотекарів, медсестер</t>
  </si>
  <si>
    <t>11</t>
  </si>
  <si>
    <t>11.1.Забезпечити формування  методологічної та теоретичної компетентності, поглиблення соціально-гуманітарних і психолого-педагогічних знань, формування вмінь використання новітніх освітніх та інформаційно-комунікативних технологій.</t>
  </si>
  <si>
    <t>11.1.1.Проходження курсової перепідготовки педагогічним  працівникам закладів загальної середньої освіти</t>
  </si>
  <si>
    <t>місцевий , державний бюджети</t>
  </si>
  <si>
    <t>Забезпечено курси підвищення кваліфікації педагогічним працівникам закладів загальної середньої освіти</t>
  </si>
  <si>
    <t>11.1.2.Проходження курсової перепідготовки бібліотекарів та медсестер закладів загальної середньої освіти</t>
  </si>
  <si>
    <t>Забезпечено підвищення кваліфікації медсестрам та бібліотекарів закладів загальної середньої освіти</t>
  </si>
  <si>
    <t>11.1.3.Проходження курсової перепідготовки працівників закладів дошкільної освіти</t>
  </si>
  <si>
    <t>Забезпечено курси підвищення кваліфікації педагогічним та іншим працівникам закладів дошкільної  освіти</t>
  </si>
  <si>
    <t>11.1.4.Проходження курсової перепідготовки працівників закладів позашкільної освіти та ДЮСШ</t>
  </si>
  <si>
    <t>Забезпечено курси підвищення кваліфікації педагогічним та іншим працівникам закладів позашкільної освіти</t>
  </si>
  <si>
    <t>11.1.5.Проходження курсової перепідготовки працівниками науково-методичного центру, інклюзивно-ресурсних центрів</t>
  </si>
  <si>
    <t>Забезпечено курси підвищення кваліфікації педагогічним науково-методичного центру</t>
  </si>
  <si>
    <t xml:space="preserve">11.1.6. Забезпечення навчання у Києво-Могилянській бізнес-школі освітніх управлінців (КМБС) керівників закладів освіти </t>
  </si>
  <si>
    <t xml:space="preserve">Забезпечено проходження навчання за програмою "Школа освітніх управлінців" керівниками закладів </t>
  </si>
  <si>
    <t>12. Пожежна безпека</t>
  </si>
  <si>
    <t xml:space="preserve">12.1.Забезпечити виконання  заходів пожежної безпеки </t>
  </si>
  <si>
    <t>12.1.1.Забепечення системою пожежного захисту( пожежна сигналізація, система передавання тривожних сповіщень, система оповіщення про пожежу та управління евакуацією людей (проєктування та встановлення):</t>
  </si>
  <si>
    <t>Виконання Правил пожежної безпеки України та приписів ДСНС</t>
  </si>
  <si>
    <t xml:space="preserve">в закладах дошкільної освіти  </t>
  </si>
  <si>
    <t>державний,місцевий бюджети</t>
  </si>
  <si>
    <t>в закладах загальної середньої освіти</t>
  </si>
  <si>
    <t>в закладах позашкільної освіти  та дитячо-юнацькій спортивній школі</t>
  </si>
  <si>
    <t>ІРЦ, в бухгалтерській службі, департамент освіти</t>
  </si>
  <si>
    <t>12.1.2.Встановлення блисковкозахистів:</t>
  </si>
  <si>
    <t>в закладах  дошкільної освіти</t>
  </si>
  <si>
    <t>12.1.3.Просочення дерев`яних конструкцій:</t>
  </si>
  <si>
    <t>в закладах позашкільної освіти</t>
  </si>
  <si>
    <t>12.1.4.Приведення у відповідність до встановлених норм приладів освітлення евакуаційних виходів:</t>
  </si>
  <si>
    <t xml:space="preserve">в закладах позашкільної освіти </t>
  </si>
  <si>
    <t>12.1.5. Заміна шаф, щитів, автоматів, пускової апаратури на сучасні:</t>
  </si>
  <si>
    <t>12.1.6.Заміна електромереж:</t>
  </si>
  <si>
    <t>12.2.Забезпечити профільне  навчання відповідальних осіб</t>
  </si>
  <si>
    <t>12.2.1.Проводити навчання відповідальних осіб з пожежної безпеки, електробезпеки, цивільного захисту населення, газового господарства, операторів котелень:</t>
  </si>
  <si>
    <t>Виконання вимог нормативних документів</t>
  </si>
  <si>
    <t>13.Електробезпека та енергозбереження</t>
  </si>
  <si>
    <t>13.1.Впроваджувати енергозберігаючі технології у закладах освіти</t>
  </si>
  <si>
    <t>13.1.1.Виконання поточних  ремонтів системи освітлення із заміною енергоємних ламп на світлодіодні:</t>
  </si>
  <si>
    <t xml:space="preserve">Виконання Правил пожежної безпеки України та Правил улаштування електроустановок   </t>
  </si>
  <si>
    <t>13.1.2.Заміна водорозбірних кранів,встановлення  аераторів:</t>
  </si>
  <si>
    <t>Виконання правил користування системами водопостачання</t>
  </si>
  <si>
    <t>13.1.3.Встановлення тепловідбивних екранів за радіаторами:</t>
  </si>
  <si>
    <t>Виконання Правил технічної експлуатації теплових установок і мереж</t>
  </si>
  <si>
    <t>13.1.4.Встановлення водонагрівачів для гарячого водопостачання:</t>
  </si>
  <si>
    <t>Забезпечення горячим водопостачанням</t>
  </si>
  <si>
    <t>13.1.5.Утеплення трубопроводів:</t>
  </si>
  <si>
    <t xml:space="preserve">13.1.6.Гідрохімічна промивка систем опалення закладів за відповідними технічно-експертними висновками
</t>
  </si>
  <si>
    <t>13.1.7.Заміна дерев'яних (неенергоефективних ) вікон на металопластикові:</t>
  </si>
  <si>
    <t>Заощаджено видатки місцевого бюджету на енергоресурс, створено комфортні умови перебування дітей в закладі, з дотриманням всіх санітарних норм.</t>
  </si>
  <si>
    <t>13.1.7.1. в закладах  дошкільної освіти</t>
  </si>
  <si>
    <t>13.1.7.2.в закладах загальної середньої освіти</t>
  </si>
  <si>
    <t>13.1.7.3. проведення поточних ремонтів з усунення аварій по заміні віконних блоків та ремонту укосів у  ліцеях №16,20,24,30,34 (депутатські кошти обласного бюджету).</t>
  </si>
  <si>
    <t xml:space="preserve"> субвенція з обласного бюджету</t>
  </si>
  <si>
    <t>14.Надання гендерночутливих освітніх послуг</t>
  </si>
  <si>
    <t xml:space="preserve">14.1.Покращити якість освітніх послуг здобувачам освіти на основі  потреб з урахуванням статі, віку та інших характеристик учасників освітнього процесу  </t>
  </si>
  <si>
    <t>14.1.1.Провести гендерний аналіз представництва жінок та чоловіків у закладах  освіти ,залучати чоловіків до надання освітніх послуг</t>
  </si>
  <si>
    <t xml:space="preserve">Проведення гендерного аналізу представництва жінок та чоловіків у закладах  освіти, збільшення частки чоловіків серед надавачів освітніх послуг </t>
  </si>
  <si>
    <t>14.1.2.Забезпечити недискримінаційні умови прийому на роботу у закладах освіти,превенцію дискримінації за ознакою статі, віку, різних підходів до умов праці, заохочення, організації робочого часу щодо жінок та чоловіків</t>
  </si>
  <si>
    <t>Дотримання недискримінаційних умов прийому на роботу у закладах  освіти</t>
  </si>
  <si>
    <t xml:space="preserve">14.1.3.Провести методичне навчання (семінари, тренінги тощо) для працівників/працівниць закладів  освіти щодо впровадження  гендерного підходу у професійну діяльність, використання гендерночутливих програм, матеріалів тощо; вжити заходів щодо використання гендерночутливого та недискримінаційного мовлення під час надання освітніх послуг </t>
  </si>
  <si>
    <t>Збільшення рівня поінформованості працівників/працівниць закладів  освіти щодо впровадження  гендерного підходу у професійну діяльність</t>
  </si>
  <si>
    <t>14.1.4.Провести гендерний аудит  безпеки закладів  освіти,а також прилеглої території, сприяти розвитку безпечного освітнього середовища, вільного від різних форм насилля, булінгу та дискримінації,налагодження ґендерно чутливої комунікації між учасниками освітнього процесу</t>
  </si>
  <si>
    <t>Створення гендерно чутливого, безпечного освітнього середовища</t>
  </si>
  <si>
    <t>14.1.5.Забезпечити паритетне представництво дівчаток та хлопчиків у процесі формування груп, класів,гуртків  в закладах освіти</t>
  </si>
  <si>
    <t>Забезпечення паритетного представництва дівчаток та хлопчиків у сформованих групах, класах, гуртках в закладах освіти</t>
  </si>
  <si>
    <t>14.1.6.Надавати інформаційні послуги з питань протидії гендерному насильству та дискримінації за ознакою статі  (інформаційні куточки з гендерної тематики, питань протидії домашньому насильству, сексуальним домаганням, торгівлі людьми тощо)</t>
  </si>
  <si>
    <t>Збільшення рівня поінформованості учасників освітнього процесу закладів освіти з питань протидії гендерному насильству та дискримінації за ознакою статі</t>
  </si>
  <si>
    <t>14.1.7. Забезпечити проведення  профорієнтації середньої освіти та х професійно-технічних закладах</t>
  </si>
  <si>
    <t>Вибір здобувачами освіти професій без гендерної стереотипізації</t>
  </si>
  <si>
    <t>14.1.8.Провести опитування/дослідження запитів/потреб дівчат та хлопців різних вікових груп стосовно послуг у сфері позашкільної освіти</t>
  </si>
  <si>
    <t>Збільшення рівня поінформованості щодо реальних запитів/потреб дівчат та хлопців різних вікових груп стосовно послуг у сфері позашкільної освіти</t>
  </si>
  <si>
    <t>14.1.9.Здійснювати інформування  про перелік послуг у сфері  позашкільної освіти, їх зміст і порядок надання  з урахуванням доступних каналів комунікації для дівчат і хлопців</t>
  </si>
  <si>
    <t>Збільшення рівня поінформованості громадськості щодо послуг у сфері  позашкільної освіти</t>
  </si>
  <si>
    <t>14.1.10.За допомогою різних каналів комунікації вивчати рівень задоволеності отриманими послугами у сфері освіти  в цілому та кожному окремому закладі  з урахуванням гендерної складової</t>
  </si>
  <si>
    <t>Збільшення рівня задоволеності отриманими послугами у сфері освіти</t>
  </si>
  <si>
    <t>15.Реконструкція, капітальні ремонти об'єктів комунальної власності Житомирської міської територіальної громади</t>
  </si>
  <si>
    <t>15.1 Забезпечити проведення капітальних ремонтів</t>
  </si>
  <si>
    <t>15.1.1 Капітальний ремонт частини приміщень 1 поверху житлового будинку за адресо: м. Житомир, вул. Київська, 9</t>
  </si>
  <si>
    <t>місцеий бюджет</t>
  </si>
  <si>
    <t>Проведено капітальний ремонт частини приміщень 1 поверху житлового будинку за адресо: м. Житомир, вул. Київська, 9</t>
  </si>
  <si>
    <t>15.1.2. Капітальний ремонт санвузлів з допоміжними приміщеннями у Вересівській ЗОШ, за адресою : 
с. Вереси, вул.Шевченка,1</t>
  </si>
  <si>
    <t>Проведено капітальний ремонт санвузлів з допоміжними приміщеннями у Вересівській ЗОШ</t>
  </si>
  <si>
    <t>15.1.3. Капітальний ремонт електромереж ліцею №24  за адресою: м.Житомир , вул.Шевченка,105-Б</t>
  </si>
  <si>
    <t>Виготовлено ПКД.Проведено капітальний ремонт</t>
  </si>
  <si>
    <t>15.1.4.Капітальний ремонт будівлі Професійного коледжу сервісу і дизайну міста Житомира за адресою м.Житомир, вул.Корольова ,132</t>
  </si>
  <si>
    <t>15.1.5.Капітальний ремонт частини приміщень 1-го поверху Ліцею№4 міста Житомира за адресою  вул.Троянівська,26</t>
  </si>
  <si>
    <t>Проведено капітальний ремонт</t>
  </si>
  <si>
    <t>15.1.6 Виготовлення ПКД на капітальний ремонт покрівлі Професійного коледжу технічних інновацій міста Житомира</t>
  </si>
  <si>
    <t>Виготовлено ПКД</t>
  </si>
  <si>
    <t>15.1.7.Виготовлення ПКД на демонтаж  будівлі Професійного коледжу технічних інновацій міста Житомира</t>
  </si>
  <si>
    <t>15.2.Впроваджувати інноваційні технологіх з використанням відновлених джерел енергії</t>
  </si>
  <si>
    <t>15.2.1.Реалізація проєкту "Енергоефективна модернізація будівлі Житомирського дошкільного закладу №15, що знаходиться за адресою: м.Житомир, вул.Старочуднівська, 4 а, в т.ч. виготовлення ПКД (реконструкція інженерних мереж (модернізація) будівлі)</t>
  </si>
  <si>
    <t>Департамент освіти , комунальна установа "Агенція розвитку міста" ЖМР</t>
  </si>
  <si>
    <t>місцеий бюджет,
грантові кошти</t>
  </si>
  <si>
    <t>Скорочення споживання традиційних видів палива, збільшення частки енергії, яка отримується х альтернативних джерел</t>
  </si>
  <si>
    <t>15.3. Створити інфраструктуру для підпримки та розвитку мікро та малого підприємства</t>
  </si>
  <si>
    <t>15.3.1.Реалізація проєкту "Лабораторія підприємництва " (Центр професійно-технічної освіти м.Житомира), в т.ч. :</t>
  </si>
  <si>
    <t>місцеий бюджет,
надходження в рамках програм допомоги урядів іноземних держав,міжнародних організацій,  донорських установ</t>
  </si>
  <si>
    <t>15 898,17
 в т.ч.</t>
  </si>
  <si>
    <t>1 568,23
 в т.ч.</t>
  </si>
  <si>
    <t xml:space="preserve">Проведено капітальний ремонт  частини приміщення учбово-лабораторного корпусу за адресою : м.Житомир , вул.Селецька,5 </t>
  </si>
  <si>
    <t>м.Житомир , вул.Селецька,5.
Закуплено виробниче та супутнє обладнання для обробки дерева, металу та полімерів.</t>
  </si>
  <si>
    <t>15.3.1.1.Капітальний ремонт частини приміщення І  - го  поверху  учбово-лабораторного корпусу (літера"Р " ) Центру професійно-технічної освіти м.Житомира за адресою : м.Житомир , вул.Селецька,5 , в т.ч. виготовлення ПКД (співфінансування міжнародного проєкту)</t>
  </si>
  <si>
    <t>місцевий бюджет (співфінансування міжнародного проєкту)</t>
  </si>
  <si>
    <t>надходження в рамках програм допомоги урядів іноземних держав,міжнародних організацій,  донорських установ</t>
  </si>
  <si>
    <t>15.3.1.2.Закупівля виробничого та супутнього  обладнання тощо (основні засоби)</t>
  </si>
  <si>
    <t>15.3.1.3.Закупівля інструментів, меблів, інвентарю, матеріалів тощо (в т.ч. малоцінні та швидкозношувані предмети)</t>
  </si>
  <si>
    <t>15.4. Забезпечити проведення капітальних ремонтів території благоустрою закладів та спортивних майданчиків</t>
  </si>
  <si>
    <t>15.4.1.Капітальний ремонт території благоустрою Ліцею №14 міста Житомира за адресою м.Житомир , вул. Кибальчича, 7 (в т.ч. ПКД)</t>
  </si>
  <si>
    <t xml:space="preserve">Проведено капітальний ремонт території благоустрою </t>
  </si>
  <si>
    <t>15.4.2. Реконструкція спортивного майданчика на території Ліцею №5 міста Житомира за адресою : м.Житомир, вул. Олександра Клосовського,16 (в т.ч. ПКД)</t>
  </si>
  <si>
    <t>Проведено реконструкцію спортивного майданчика</t>
  </si>
  <si>
    <t>15.4.3. Реконструкція спортивного майданчика на території Ліцею №34 міста Житомира за адресою : м.Житомир, вул. Івана Мазепи ,18 (в т.ч. ПКД)</t>
  </si>
  <si>
    <t>15.4.4. Реконструкція спортивного майданчика на території Ліцею №16 міста Житомира за адресою : м.Житомир, вул.Тараса Бульби-Боровця,15 (в т.ч. ПКД)</t>
  </si>
  <si>
    <t>15.5.Забезпечити безперебійну роботу газової та твердотопливної котелень</t>
  </si>
  <si>
    <t>15.5.1.Капітальний ремонт з встановленням електрогенераторної установки HIMOINSA HSY - 40  в ДНЗ №10  за адресою вулиця Михайла Грушевського 89/97 м.Житомир</t>
  </si>
  <si>
    <t>Забезпечено безперебійну роботу пункту незламності</t>
  </si>
  <si>
    <t xml:space="preserve">15.6.Забезпечити реконструкцію приміщень </t>
  </si>
  <si>
    <t>15.6.1.Реконструкція частини приміщень будівлі ліцею №4 за адресою: м.Житомир, вул. Троянівська, 26</t>
  </si>
  <si>
    <t>Проведено реконструкцію частини приміщень будівлі ліцею №4  за адресою : м.Житомир, вул, Троянівська, 26</t>
  </si>
  <si>
    <t>15.7.Забезпечити виконання енергозберігаючих заходів та заходу з продовження терміну експлуатації будівлі</t>
  </si>
  <si>
    <t>15.7.1.Капітальний ремонт (заміна віконних блоків на металопластикові конструкції) в приміщеннях Житомирського професійного політехнічного ліцею за адресою : м. Житомир , вул. Корольова,132</t>
  </si>
  <si>
    <t>Ефективне використання енергоресурсів</t>
  </si>
  <si>
    <t>15.7.2.Капітальний ремонт (заміна віконних блоків на металопластикові конструкції) в приміщеннях Професійного коледжу технічних інновацій міста Житомира  за адресою : м. Житомир , вул. Селецька,5</t>
  </si>
  <si>
    <t xml:space="preserve">15.8.Забезпечити  реалізацію проєктів із придбання обладнання, створення та модернізацію (проведення  капітального ремонту) їдалень (харчоблоків) у закладах загальної середньої освіти </t>
  </si>
  <si>
    <t>15.8.1.Капітальний ремонт харчоблоку ліцею №23 м. Житомира  ім. М. Очерета за адресою: м. Житомир, вул. Б.Й.Лятошинського,14</t>
  </si>
  <si>
    <t>2024-2025  роки</t>
  </si>
  <si>
    <t>державнв субвенція, місцевий бюджет</t>
  </si>
  <si>
    <t>Проведено капітальний ремонт харчоблоку</t>
  </si>
  <si>
    <t>15.8.2 Капітальний ремонт харчоблоку ліцею №4 міста Житомира за адресою : м.Житомир, вул.Троянівська,26</t>
  </si>
  <si>
    <t>15.9.Забезпечити створення освітнього центру на базІ закладу дошкільної освіти №25 «Освітній HUB : Перша допомога та Steam»"</t>
  </si>
  <si>
    <t xml:space="preserve">15.9.1.Капітальний ремонт приміщень «Житомирський центр компетенцій» на базі Житомирського закладу дошкільної освіти №25 Житомирської міської ради, за адресою: м. Житомир вул. Б.Тена, 84-а» </t>
  </si>
  <si>
    <t>Забезпечено проведення тренінгів по наданню первинної допомоги</t>
  </si>
  <si>
    <t>Всього по Програмі</t>
  </si>
  <si>
    <t>Примітка</t>
  </si>
  <si>
    <t>визначити фінансовий ресурс перехідних об'єктів у 2024 році ,які не були оплачені станом на 31 грудня 2023 року , відповідно до обсягу , визначеному для реалізації заходів у 2023 році</t>
  </si>
  <si>
    <t>Директор департаменту  освіти   міської ради</t>
  </si>
  <si>
    <t>Валентин АРЕНДАРЧУК</t>
  </si>
  <si>
    <t>Секретар міської ради</t>
  </si>
  <si>
    <t>Галина ШИМАНСЬКА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</si>
</sst>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
    <numFmt numFmtId="165" formatCode="#,##0.0"/>
    <numFmt numFmtId="166" formatCode="#,##0.0_ ;\-#,##0.0\ "/>
    <numFmt numFmtId="167" formatCode="0.000"/>
    <numFmt numFmtId="168" formatCode="#,##0.000"/>
  </numFmts>
  <fonts count="19" x14ac:knownFonts="1">
    <font>
      <sz val="11"/>
      <color indexed="8"/>
      <name val="Calibri"/>
      <family val="2"/>
      <charset val="204"/>
    </font>
    <font>
      <sz val="11"/>
      <color indexed="8"/>
      <name val="Calibri"/>
      <family val="2"/>
      <charset val="204"/>
    </font>
    <font>
      <sz val="24"/>
      <name val="Times New Roman"/>
      <family val="1"/>
      <charset val="204"/>
    </font>
    <font>
      <sz val="26"/>
      <name val="Times New Roman"/>
      <family val="1"/>
      <charset val="204"/>
    </font>
    <font>
      <b/>
      <sz val="26"/>
      <name val="Times New Roman"/>
      <family val="1"/>
      <charset val="204"/>
    </font>
    <font>
      <b/>
      <sz val="24"/>
      <name val="Times New Roman"/>
      <family val="1"/>
      <charset val="204"/>
    </font>
    <font>
      <sz val="11"/>
      <name val="Calibri"/>
      <family val="2"/>
      <charset val="204"/>
    </font>
    <font>
      <sz val="23"/>
      <name val="Times New Roman"/>
      <family val="1"/>
      <charset val="204"/>
    </font>
    <font>
      <i/>
      <sz val="24"/>
      <name val="Times New Roman"/>
      <family val="1"/>
      <charset val="204"/>
    </font>
    <font>
      <b/>
      <i/>
      <sz val="24"/>
      <name val="Times New Roman"/>
      <family val="1"/>
      <charset val="204"/>
    </font>
    <font>
      <b/>
      <i/>
      <u/>
      <sz val="24"/>
      <name val="Times New Roman"/>
      <family val="1"/>
      <charset val="204"/>
    </font>
    <font>
      <u/>
      <sz val="24"/>
      <name val="Times New Roman"/>
      <family val="1"/>
      <charset val="204"/>
    </font>
    <font>
      <sz val="24"/>
      <name val="Arial"/>
      <family val="2"/>
      <charset val="204"/>
    </font>
    <font>
      <b/>
      <sz val="28"/>
      <name val="Times New Roman"/>
      <family val="1"/>
      <charset val="204"/>
    </font>
    <font>
      <sz val="28"/>
      <name val="Times New Roman"/>
      <family val="1"/>
      <charset val="204"/>
    </font>
    <font>
      <b/>
      <sz val="22"/>
      <name val="Times New Roman"/>
      <family val="1"/>
      <charset val="204"/>
    </font>
    <font>
      <sz val="27"/>
      <name val="Times New Roman"/>
      <family val="1"/>
      <charset val="204"/>
    </font>
    <font>
      <b/>
      <sz val="27"/>
      <name val="Times New Roman"/>
      <family val="1"/>
      <charset val="204"/>
    </font>
    <font>
      <sz val="14"/>
      <name val="Times New Roman"/>
      <family val="1"/>
      <charset val="204"/>
    </font>
  </fonts>
  <fills count="7">
    <fill>
      <patternFill patternType="none"/>
    </fill>
    <fill>
      <patternFill patternType="gray125"/>
    </fill>
    <fill>
      <patternFill patternType="solid">
        <fgColor theme="0"/>
        <bgColor indexed="26"/>
      </patternFill>
    </fill>
    <fill>
      <patternFill patternType="solid">
        <fgColor theme="0"/>
        <bgColor indexed="64"/>
      </patternFill>
    </fill>
    <fill>
      <patternFill patternType="solid">
        <fgColor theme="0"/>
        <bgColor indexed="34"/>
      </patternFill>
    </fill>
    <fill>
      <patternFill patternType="solid">
        <fgColor rgb="FFFFFF00"/>
        <bgColor indexed="26"/>
      </patternFill>
    </fill>
    <fill>
      <patternFill patternType="solid">
        <fgColor rgb="FFFFFF00"/>
        <bgColor indexed="64"/>
      </patternFill>
    </fill>
  </fills>
  <borders count="113">
    <border>
      <left/>
      <right/>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medium">
        <color indexed="64"/>
      </right>
      <top style="medium">
        <color indexed="8"/>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diagonal/>
    </border>
    <border>
      <left style="thin">
        <color indexed="8"/>
      </left>
      <right style="medium">
        <color indexed="64"/>
      </right>
      <top style="thin">
        <color indexed="8"/>
      </top>
      <bottom/>
      <diagonal/>
    </border>
    <border>
      <left style="medium">
        <color indexed="64"/>
      </left>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thin">
        <color indexed="8"/>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medium">
        <color indexed="64"/>
      </right>
      <top/>
      <bottom style="thin">
        <color indexed="8"/>
      </bottom>
      <diagonal/>
    </border>
    <border>
      <left style="medium">
        <color indexed="64"/>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thin">
        <color indexed="8"/>
      </top>
      <bottom style="thin">
        <color indexed="64"/>
      </bottom>
      <diagonal/>
    </border>
    <border>
      <left style="thin">
        <color indexed="8"/>
      </left>
      <right/>
      <top/>
      <bottom style="thin">
        <color indexed="64"/>
      </bottom>
      <diagonal/>
    </border>
    <border>
      <left style="thin">
        <color indexed="8"/>
      </left>
      <right style="medium">
        <color indexed="64"/>
      </right>
      <top/>
      <bottom style="thin">
        <color indexed="64"/>
      </bottom>
      <diagonal/>
    </border>
    <border>
      <left style="medium">
        <color indexed="64"/>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8"/>
      </left>
      <right style="medium">
        <color indexed="64"/>
      </right>
      <top/>
      <bottom/>
      <diagonal/>
    </border>
    <border>
      <left/>
      <right style="medium">
        <color indexed="64"/>
      </right>
      <top/>
      <bottom style="thin">
        <color indexed="64"/>
      </bottom>
      <diagonal/>
    </border>
    <border>
      <left/>
      <right style="thin">
        <color indexed="8"/>
      </right>
      <top style="thin">
        <color indexed="64"/>
      </top>
      <bottom/>
      <diagonal/>
    </border>
    <border>
      <left/>
      <right style="medium">
        <color indexed="64"/>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medium">
        <color indexed="64"/>
      </right>
      <top style="thin">
        <color indexed="64"/>
      </top>
      <bottom style="thin">
        <color indexed="8"/>
      </bottom>
      <diagonal/>
    </border>
    <border>
      <left style="thin">
        <color indexed="8"/>
      </left>
      <right style="medium">
        <color indexed="64"/>
      </right>
      <top style="thin">
        <color indexed="8"/>
      </top>
      <bottom style="thin">
        <color indexed="64"/>
      </bottom>
      <diagonal/>
    </border>
    <border>
      <left/>
      <right style="medium">
        <color indexed="64"/>
      </right>
      <top style="thin">
        <color indexed="8"/>
      </top>
      <bottom/>
      <diagonal/>
    </border>
    <border>
      <left style="thin">
        <color indexed="64"/>
      </left>
      <right style="thin">
        <color indexed="8"/>
      </right>
      <top/>
      <bottom style="thin">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8"/>
      </right>
      <top/>
      <bottom style="thin">
        <color indexed="64"/>
      </bottom>
      <diagonal/>
    </border>
    <border>
      <left/>
      <right style="thin">
        <color indexed="8"/>
      </right>
      <top style="thin">
        <color indexed="64"/>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style="thin">
        <color indexed="8"/>
      </left>
      <right style="medium">
        <color indexed="64"/>
      </right>
      <top style="thin">
        <color indexed="64"/>
      </top>
      <bottom style="thin">
        <color indexed="64"/>
      </bottom>
      <diagonal/>
    </border>
    <border>
      <left style="medium">
        <color indexed="64"/>
      </left>
      <right style="thin">
        <color indexed="8"/>
      </right>
      <top/>
      <bottom style="thin">
        <color indexed="8"/>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8"/>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style="thin">
        <color indexed="64"/>
      </bottom>
      <diagonal/>
    </border>
    <border>
      <left/>
      <right/>
      <top style="thin">
        <color indexed="8"/>
      </top>
      <bottom style="thin">
        <color indexed="8"/>
      </bottom>
      <diagonal/>
    </border>
    <border>
      <left/>
      <right/>
      <top style="thin">
        <color indexed="8"/>
      </top>
      <bottom style="thin">
        <color indexed="64"/>
      </bottom>
      <diagonal/>
    </border>
    <border>
      <left style="thin">
        <color indexed="8"/>
      </left>
      <right style="thin">
        <color indexed="64"/>
      </right>
      <top/>
      <bottom/>
      <diagonal/>
    </border>
    <border>
      <left/>
      <right style="thin">
        <color indexed="64"/>
      </right>
      <top/>
      <bottom/>
      <diagonal/>
    </border>
    <border>
      <left style="thin">
        <color indexed="8"/>
      </left>
      <right style="thin">
        <color indexed="64"/>
      </right>
      <top/>
      <bottom style="thin">
        <color indexed="64"/>
      </bottom>
      <diagonal/>
    </border>
    <border>
      <left/>
      <right style="thin">
        <color indexed="8"/>
      </right>
      <top style="thin">
        <color indexed="8"/>
      </top>
      <bottom style="thin">
        <color indexed="8"/>
      </bottom>
      <diagonal/>
    </border>
    <border>
      <left style="medium">
        <color indexed="64"/>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top style="thin">
        <color indexed="8"/>
      </top>
      <bottom/>
      <diagonal/>
    </border>
    <border>
      <left style="medium">
        <color indexed="64"/>
      </left>
      <right style="thin">
        <color indexed="8"/>
      </right>
      <top style="thin">
        <color indexed="64"/>
      </top>
      <bottom/>
      <diagonal/>
    </border>
    <border>
      <left style="thin">
        <color indexed="64"/>
      </left>
      <right/>
      <top style="thin">
        <color indexed="64"/>
      </top>
      <bottom style="thin">
        <color indexed="8"/>
      </bottom>
      <diagonal/>
    </border>
    <border>
      <left style="medium">
        <color indexed="64"/>
      </left>
      <right/>
      <top style="thin">
        <color indexed="8"/>
      </top>
      <bottom style="thin">
        <color indexed="64"/>
      </bottom>
      <diagonal/>
    </border>
    <border>
      <left style="medium">
        <color indexed="64"/>
      </left>
      <right style="thin">
        <color indexed="8"/>
      </right>
      <top/>
      <bottom/>
      <diagonal/>
    </border>
    <border>
      <left style="medium">
        <color indexed="64"/>
      </left>
      <right style="thin">
        <color indexed="8"/>
      </right>
      <top style="thin">
        <color indexed="8"/>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top/>
      <bottom style="thin">
        <color indexed="8"/>
      </bottom>
      <diagonal/>
    </border>
    <border>
      <left style="medium">
        <color indexed="8"/>
      </left>
      <right/>
      <top/>
      <bottom/>
      <diagonal/>
    </border>
  </borders>
  <cellStyleXfs count="2">
    <xf numFmtId="0" fontId="0" fillId="0" borderId="0"/>
    <xf numFmtId="43" fontId="1" fillId="0" borderId="0" applyFont="0" applyFill="0" applyBorder="0" applyAlignment="0" applyProtection="0"/>
  </cellStyleXfs>
  <cellXfs count="686">
    <xf numFmtId="0" fontId="0" fillId="0" borderId="0" xfId="0"/>
    <xf numFmtId="164" fontId="2" fillId="2" borderId="0" xfId="0" applyNumberFormat="1" applyFont="1" applyFill="1"/>
    <xf numFmtId="0" fontId="2" fillId="2" borderId="0" xfId="0" applyNumberFormat="1" applyFont="1" applyFill="1"/>
    <xf numFmtId="164" fontId="2" fillId="2" borderId="0" xfId="0" applyNumberFormat="1" applyFont="1" applyFill="1" applyAlignment="1">
      <alignment horizontal="left"/>
    </xf>
    <xf numFmtId="4" fontId="3" fillId="2" borderId="0" xfId="0" applyNumberFormat="1" applyFont="1" applyFill="1" applyBorder="1"/>
    <xf numFmtId="164" fontId="2" fillId="2" borderId="0" xfId="0" applyNumberFormat="1" applyFont="1" applyFill="1" applyBorder="1"/>
    <xf numFmtId="164" fontId="2" fillId="2" borderId="0" xfId="0" applyNumberFormat="1" applyFont="1" applyFill="1" applyBorder="1" applyAlignment="1">
      <alignment horizontal="left"/>
    </xf>
    <xf numFmtId="164" fontId="2" fillId="2" borderId="0" xfId="0" applyNumberFormat="1" applyFont="1" applyFill="1" applyBorder="1" applyAlignment="1"/>
    <xf numFmtId="164" fontId="4" fillId="2" borderId="0" xfId="0" applyNumberFormat="1" applyFont="1" applyFill="1" applyBorder="1" applyAlignment="1">
      <alignment horizontal="center" vertical="top"/>
    </xf>
    <xf numFmtId="164" fontId="4" fillId="2" borderId="0" xfId="0" applyNumberFormat="1" applyFont="1" applyFill="1" applyBorder="1" applyAlignment="1">
      <alignment horizontal="left" vertical="top"/>
    </xf>
    <xf numFmtId="164" fontId="5" fillId="2" borderId="0" xfId="0" applyNumberFormat="1" applyFont="1" applyFill="1" applyBorder="1" applyAlignment="1">
      <alignment horizontal="center" vertical="center" wrapText="1"/>
    </xf>
    <xf numFmtId="164" fontId="5" fillId="2" borderId="0" xfId="0" applyNumberFormat="1" applyFont="1" applyFill="1" applyBorder="1" applyAlignment="1">
      <alignment horizontal="left" vertical="center" wrapText="1"/>
    </xf>
    <xf numFmtId="164" fontId="5" fillId="2" borderId="18" xfId="0" applyNumberFormat="1" applyFont="1" applyFill="1" applyBorder="1" applyAlignment="1">
      <alignment horizontal="center" vertical="center"/>
    </xf>
    <xf numFmtId="1" fontId="2" fillId="2" borderId="19" xfId="0" applyNumberFormat="1" applyFont="1" applyFill="1" applyBorder="1" applyAlignment="1">
      <alignment horizontal="center" vertical="center"/>
    </xf>
    <xf numFmtId="1" fontId="2" fillId="2" borderId="20" xfId="0" applyNumberFormat="1" applyFont="1" applyFill="1" applyBorder="1" applyAlignment="1">
      <alignment horizontal="center" vertical="center"/>
    </xf>
    <xf numFmtId="1" fontId="2" fillId="2" borderId="21" xfId="0" applyNumberFormat="1" applyFont="1" applyFill="1" applyBorder="1" applyAlignment="1">
      <alignment horizontal="center" vertical="center"/>
    </xf>
    <xf numFmtId="1" fontId="2" fillId="2" borderId="0" xfId="0" applyNumberFormat="1" applyFont="1" applyFill="1" applyBorder="1" applyAlignment="1">
      <alignment horizontal="center" vertical="center"/>
    </xf>
    <xf numFmtId="1" fontId="2" fillId="2" borderId="0" xfId="0" applyNumberFormat="1" applyFont="1" applyFill="1" applyBorder="1" applyAlignment="1">
      <alignment horizontal="left" vertical="center"/>
    </xf>
    <xf numFmtId="164" fontId="2" fillId="2" borderId="22" xfId="0" applyNumberFormat="1" applyFont="1" applyFill="1" applyBorder="1" applyAlignment="1">
      <alignment horizontal="center" vertical="center"/>
    </xf>
    <xf numFmtId="164" fontId="4" fillId="2" borderId="0" xfId="0" applyNumberFormat="1" applyFont="1" applyFill="1" applyBorder="1" applyAlignment="1">
      <alignment horizontal="center" vertical="center"/>
    </xf>
    <xf numFmtId="164" fontId="4" fillId="2" borderId="0" xfId="0" applyNumberFormat="1" applyFont="1" applyFill="1" applyBorder="1" applyAlignment="1">
      <alignment horizontal="left" vertical="center"/>
    </xf>
    <xf numFmtId="1" fontId="2" fillId="2" borderId="26" xfId="0" applyNumberFormat="1" applyFont="1" applyFill="1" applyBorder="1" applyAlignment="1">
      <alignment vertical="top"/>
    </xf>
    <xf numFmtId="164" fontId="2" fillId="2" borderId="27" xfId="0" applyNumberFormat="1" applyFont="1" applyFill="1" applyBorder="1" applyAlignment="1">
      <alignment vertical="top" wrapText="1"/>
    </xf>
    <xf numFmtId="165" fontId="2" fillId="2" borderId="20" xfId="0" applyNumberFormat="1" applyFont="1" applyFill="1" applyBorder="1" applyAlignment="1">
      <alignment vertical="top" wrapText="1"/>
    </xf>
    <xf numFmtId="165" fontId="2" fillId="2" borderId="18" xfId="0" applyNumberFormat="1" applyFont="1" applyFill="1" applyBorder="1" applyAlignment="1">
      <alignment vertical="top" wrapText="1"/>
    </xf>
    <xf numFmtId="165" fontId="2" fillId="2" borderId="18" xfId="0" applyNumberFormat="1" applyFont="1" applyFill="1" applyBorder="1" applyAlignment="1">
      <alignment horizontal="right" vertical="top"/>
    </xf>
    <xf numFmtId="165" fontId="2" fillId="2" borderId="18" xfId="0" applyNumberFormat="1" applyFont="1" applyFill="1" applyBorder="1" applyAlignment="1">
      <alignment vertical="top"/>
    </xf>
    <xf numFmtId="165" fontId="2" fillId="2" borderId="28" xfId="0" applyNumberFormat="1" applyFont="1" applyFill="1" applyBorder="1" applyAlignment="1">
      <alignment vertical="top"/>
    </xf>
    <xf numFmtId="165" fontId="2" fillId="2" borderId="28" xfId="0" applyNumberFormat="1" applyFont="1" applyFill="1" applyBorder="1" applyAlignment="1">
      <alignment horizontal="right" vertical="top" wrapText="1"/>
    </xf>
    <xf numFmtId="165" fontId="2" fillId="2" borderId="29" xfId="0" applyNumberFormat="1" applyFont="1" applyFill="1" applyBorder="1" applyAlignment="1">
      <alignment horizontal="left" vertical="top" wrapText="1"/>
    </xf>
    <xf numFmtId="165" fontId="2" fillId="2" borderId="0" xfId="0" applyNumberFormat="1" applyFont="1" applyFill="1" applyBorder="1" applyAlignment="1">
      <alignment horizontal="left" vertical="top" wrapText="1"/>
    </xf>
    <xf numFmtId="4" fontId="3" fillId="2" borderId="0" xfId="0" applyNumberFormat="1" applyFont="1" applyFill="1" applyBorder="1" applyAlignment="1">
      <alignment vertical="center"/>
    </xf>
    <xf numFmtId="164" fontId="2" fillId="2" borderId="0" xfId="0" applyNumberFormat="1" applyFont="1" applyFill="1" applyBorder="1" applyAlignment="1">
      <alignment vertical="center"/>
    </xf>
    <xf numFmtId="1" fontId="2" fillId="2" borderId="30" xfId="0" applyNumberFormat="1" applyFont="1" applyFill="1" applyBorder="1" applyAlignment="1">
      <alignment vertical="top"/>
    </xf>
    <xf numFmtId="164" fontId="2" fillId="2" borderId="31" xfId="0" applyNumberFormat="1" applyFont="1" applyFill="1" applyBorder="1" applyAlignment="1">
      <alignment vertical="top" wrapText="1"/>
    </xf>
    <xf numFmtId="165" fontId="2" fillId="2" borderId="32" xfId="0" applyNumberFormat="1" applyFont="1" applyFill="1" applyBorder="1" applyAlignment="1">
      <alignment vertical="top" wrapText="1"/>
    </xf>
    <xf numFmtId="165" fontId="2" fillId="2" borderId="28" xfId="0" applyNumberFormat="1" applyFont="1" applyFill="1" applyBorder="1" applyAlignment="1">
      <alignment vertical="top" wrapText="1"/>
    </xf>
    <xf numFmtId="165" fontId="2" fillId="2" borderId="33" xfId="0" applyNumberFormat="1" applyFont="1" applyFill="1" applyBorder="1" applyAlignment="1">
      <alignment horizontal="right" vertical="top"/>
    </xf>
    <xf numFmtId="165" fontId="2" fillId="2" borderId="33" xfId="0" applyNumberFormat="1" applyFont="1" applyFill="1" applyBorder="1" applyAlignment="1">
      <alignment vertical="top"/>
    </xf>
    <xf numFmtId="165" fontId="2" fillId="2" borderId="33" xfId="0" applyNumberFormat="1" applyFont="1" applyFill="1" applyBorder="1" applyAlignment="1">
      <alignment horizontal="right" vertical="top" wrapText="1"/>
    </xf>
    <xf numFmtId="165" fontId="2" fillId="2" borderId="34" xfId="0" applyNumberFormat="1" applyFont="1" applyFill="1" applyBorder="1" applyAlignment="1">
      <alignment horizontal="left" vertical="top" wrapText="1"/>
    </xf>
    <xf numFmtId="165" fontId="2" fillId="2" borderId="35" xfId="0" applyNumberFormat="1" applyFont="1" applyFill="1" applyBorder="1" applyAlignment="1">
      <alignment vertical="top" wrapText="1"/>
    </xf>
    <xf numFmtId="165" fontId="2" fillId="2" borderId="36" xfId="0" applyNumberFormat="1" applyFont="1" applyFill="1" applyBorder="1" applyAlignment="1">
      <alignment horizontal="right" vertical="top"/>
    </xf>
    <xf numFmtId="165" fontId="2" fillId="2" borderId="36" xfId="0" applyNumberFormat="1" applyFont="1" applyFill="1" applyBorder="1" applyAlignment="1">
      <alignment vertical="top"/>
    </xf>
    <xf numFmtId="165" fontId="2" fillId="2" borderId="36" xfId="0" applyNumberFormat="1" applyFont="1" applyFill="1" applyBorder="1" applyAlignment="1">
      <alignment horizontal="right" vertical="top" wrapText="1"/>
    </xf>
    <xf numFmtId="164" fontId="2" fillId="2" borderId="37" xfId="0" applyNumberFormat="1" applyFont="1" applyFill="1" applyBorder="1" applyAlignment="1">
      <alignment vertical="top" wrapText="1"/>
    </xf>
    <xf numFmtId="165" fontId="2" fillId="2" borderId="33" xfId="0" applyNumberFormat="1" applyFont="1" applyFill="1" applyBorder="1" applyAlignment="1">
      <alignment vertical="top" wrapText="1"/>
    </xf>
    <xf numFmtId="165" fontId="2" fillId="2" borderId="36" xfId="0" applyNumberFormat="1" applyFont="1" applyFill="1" applyBorder="1" applyAlignment="1">
      <alignment vertical="top" wrapText="1"/>
    </xf>
    <xf numFmtId="164" fontId="2" fillId="2" borderId="33" xfId="0" applyNumberFormat="1" applyFont="1" applyFill="1" applyBorder="1" applyAlignment="1">
      <alignment vertical="top" wrapText="1"/>
    </xf>
    <xf numFmtId="165" fontId="2" fillId="2" borderId="33" xfId="0" applyNumberFormat="1" applyFont="1" applyFill="1" applyBorder="1" applyAlignment="1">
      <alignment horizontal="left" vertical="top" wrapText="1"/>
    </xf>
    <xf numFmtId="165" fontId="2" fillId="3" borderId="33" xfId="0" applyNumberFormat="1" applyFont="1" applyFill="1" applyBorder="1" applyAlignment="1">
      <alignment horizontal="center" vertical="top" wrapText="1"/>
    </xf>
    <xf numFmtId="165" fontId="2" fillId="2" borderId="33" xfId="0" applyNumberFormat="1" applyFont="1" applyFill="1" applyBorder="1" applyAlignment="1">
      <alignment horizontal="center" vertical="top"/>
    </xf>
    <xf numFmtId="165" fontId="2" fillId="2" borderId="34" xfId="0" applyNumberFormat="1" applyFont="1" applyFill="1" applyBorder="1" applyAlignment="1">
      <alignment vertical="top" wrapText="1"/>
    </xf>
    <xf numFmtId="164" fontId="2" fillId="2" borderId="38" xfId="0" applyNumberFormat="1" applyFont="1" applyFill="1" applyBorder="1" applyAlignment="1">
      <alignment vertical="top" wrapText="1"/>
    </xf>
    <xf numFmtId="165" fontId="2" fillId="2" borderId="37" xfId="0" applyNumberFormat="1" applyFont="1" applyFill="1" applyBorder="1" applyAlignment="1">
      <alignment vertical="top" wrapText="1"/>
    </xf>
    <xf numFmtId="165" fontId="2" fillId="2" borderId="37" xfId="0" applyNumberFormat="1" applyFont="1" applyFill="1" applyBorder="1" applyAlignment="1">
      <alignment vertical="top"/>
    </xf>
    <xf numFmtId="4" fontId="2" fillId="2" borderId="37" xfId="0" applyNumberFormat="1" applyFont="1" applyFill="1" applyBorder="1" applyAlignment="1">
      <alignment vertical="top"/>
    </xf>
    <xf numFmtId="165" fontId="2" fillId="2" borderId="40" xfId="0" applyNumberFormat="1" applyFont="1" applyFill="1" applyBorder="1" applyAlignment="1">
      <alignment vertical="top" wrapText="1"/>
    </xf>
    <xf numFmtId="1" fontId="2" fillId="2" borderId="41" xfId="0" applyNumberFormat="1" applyFont="1" applyFill="1" applyBorder="1" applyAlignment="1">
      <alignment vertical="top"/>
    </xf>
    <xf numFmtId="164" fontId="2" fillId="2" borderId="42" xfId="0" applyNumberFormat="1" applyFont="1" applyFill="1" applyBorder="1" applyAlignment="1">
      <alignment vertical="top" wrapText="1"/>
    </xf>
    <xf numFmtId="165" fontId="2" fillId="2" borderId="42" xfId="0" applyNumberFormat="1" applyFont="1" applyFill="1" applyBorder="1" applyAlignment="1">
      <alignment vertical="top" wrapText="1"/>
    </xf>
    <xf numFmtId="165" fontId="2" fillId="2" borderId="43" xfId="0" applyNumberFormat="1" applyFont="1" applyFill="1" applyBorder="1" applyAlignment="1">
      <alignment vertical="top" wrapText="1"/>
    </xf>
    <xf numFmtId="165" fontId="2" fillId="2" borderId="0" xfId="0" applyNumberFormat="1" applyFont="1" applyFill="1" applyBorder="1" applyAlignment="1">
      <alignment horizontal="center" vertical="top" wrapText="1"/>
    </xf>
    <xf numFmtId="1" fontId="2" fillId="2" borderId="44" xfId="0" applyNumberFormat="1" applyFont="1" applyFill="1" applyBorder="1" applyAlignment="1">
      <alignment vertical="top"/>
    </xf>
    <xf numFmtId="164" fontId="2" fillId="2" borderId="45" xfId="0" applyNumberFormat="1" applyFont="1" applyFill="1" applyBorder="1" applyAlignment="1">
      <alignment vertical="top" wrapText="1"/>
    </xf>
    <xf numFmtId="165" fontId="2" fillId="2" borderId="46" xfId="0" applyNumberFormat="1" applyFont="1" applyFill="1" applyBorder="1" applyAlignment="1">
      <alignment horizontal="left" vertical="top" wrapText="1"/>
    </xf>
    <xf numFmtId="165" fontId="2" fillId="2" borderId="17" xfId="0" applyNumberFormat="1" applyFont="1" applyFill="1" applyBorder="1" applyAlignment="1">
      <alignment vertical="top" wrapText="1"/>
    </xf>
    <xf numFmtId="165" fontId="2" fillId="2" borderId="46" xfId="0" applyNumberFormat="1" applyFont="1" applyFill="1" applyBorder="1" applyAlignment="1">
      <alignment vertical="top" wrapText="1"/>
    </xf>
    <xf numFmtId="165" fontId="2" fillId="2" borderId="46" xfId="0" applyNumberFormat="1" applyFont="1" applyFill="1" applyBorder="1" applyAlignment="1">
      <alignment horizontal="right" vertical="top"/>
    </xf>
    <xf numFmtId="165" fontId="2" fillId="2" borderId="17" xfId="0" applyNumberFormat="1" applyFont="1" applyFill="1" applyBorder="1" applyAlignment="1">
      <alignment horizontal="center" vertical="top"/>
    </xf>
    <xf numFmtId="165" fontId="2" fillId="2" borderId="14" xfId="0" applyNumberFormat="1" applyFont="1" applyFill="1" applyBorder="1" applyAlignment="1">
      <alignment horizontal="right" vertical="top" wrapText="1"/>
    </xf>
    <xf numFmtId="165" fontId="2" fillId="2" borderId="47" xfId="0" applyNumberFormat="1" applyFont="1" applyFill="1" applyBorder="1" applyAlignment="1">
      <alignment vertical="top" wrapText="1"/>
    </xf>
    <xf numFmtId="165" fontId="2" fillId="2" borderId="0" xfId="0" applyNumberFormat="1" applyFont="1" applyFill="1" applyBorder="1" applyAlignment="1">
      <alignment vertical="top" wrapText="1"/>
    </xf>
    <xf numFmtId="164" fontId="2" fillId="2" borderId="17" xfId="0" applyNumberFormat="1" applyFont="1" applyFill="1" applyBorder="1" applyAlignment="1">
      <alignment vertical="top" wrapText="1"/>
    </xf>
    <xf numFmtId="165" fontId="2" fillId="2" borderId="12" xfId="0" applyNumberFormat="1" applyFont="1" applyFill="1" applyBorder="1" applyAlignment="1">
      <alignment horizontal="left" vertical="top" wrapText="1"/>
    </xf>
    <xf numFmtId="165" fontId="2" fillId="2" borderId="17" xfId="0" applyNumberFormat="1" applyFont="1" applyFill="1" applyBorder="1" applyAlignment="1">
      <alignment horizontal="right" vertical="top"/>
    </xf>
    <xf numFmtId="1" fontId="2" fillId="2" borderId="48" xfId="0" applyNumberFormat="1" applyFont="1" applyFill="1" applyBorder="1" applyAlignment="1">
      <alignment vertical="top"/>
    </xf>
    <xf numFmtId="164" fontId="2" fillId="2" borderId="20" xfId="0" applyNumberFormat="1" applyFont="1" applyFill="1" applyBorder="1" applyAlignment="1">
      <alignment vertical="top" wrapText="1"/>
    </xf>
    <xf numFmtId="165" fontId="2" fillId="2" borderId="20" xfId="0" applyNumberFormat="1" applyFont="1" applyFill="1" applyBorder="1" applyAlignment="1">
      <alignment horizontal="left" vertical="top" wrapText="1"/>
    </xf>
    <xf numFmtId="165" fontId="2" fillId="2" borderId="18" xfId="0" applyNumberFormat="1" applyFont="1" applyFill="1" applyBorder="1" applyAlignment="1">
      <alignment horizontal="left" vertical="top" wrapText="1"/>
    </xf>
    <xf numFmtId="165" fontId="2" fillId="2" borderId="20" xfId="0" applyNumberFormat="1" applyFont="1" applyFill="1" applyBorder="1" applyAlignment="1">
      <alignment horizontal="right" vertical="top"/>
    </xf>
    <xf numFmtId="165" fontId="2" fillId="2" borderId="20" xfId="0" applyNumberFormat="1" applyFont="1" applyFill="1" applyBorder="1" applyAlignment="1">
      <alignment horizontal="center" vertical="top"/>
    </xf>
    <xf numFmtId="165" fontId="2" fillId="2" borderId="49" xfId="0" applyNumberFormat="1" applyFont="1" applyFill="1" applyBorder="1" applyAlignment="1">
      <alignment horizontal="right" vertical="top" wrapText="1"/>
    </xf>
    <xf numFmtId="1" fontId="2" fillId="2" borderId="30" xfId="0" applyNumberFormat="1" applyFont="1" applyFill="1" applyBorder="1" applyAlignment="1">
      <alignment horizontal="center" vertical="top"/>
    </xf>
    <xf numFmtId="164" fontId="2" fillId="2" borderId="18" xfId="0" applyNumberFormat="1" applyFont="1" applyFill="1" applyBorder="1" applyAlignment="1">
      <alignment vertical="top" wrapText="1"/>
    </xf>
    <xf numFmtId="165" fontId="2" fillId="2" borderId="28" xfId="0" applyNumberFormat="1" applyFont="1" applyFill="1" applyBorder="1" applyAlignment="1">
      <alignment horizontal="left" vertical="top" wrapText="1"/>
    </xf>
    <xf numFmtId="165" fontId="2" fillId="2" borderId="36" xfId="0" applyNumberFormat="1" applyFont="1" applyFill="1" applyBorder="1" applyAlignment="1">
      <alignment horizontal="left" vertical="top" wrapText="1"/>
    </xf>
    <xf numFmtId="165" fontId="2" fillId="2" borderId="50" xfId="0" applyNumberFormat="1" applyFont="1" applyFill="1" applyBorder="1" applyAlignment="1">
      <alignment horizontal="right" vertical="top"/>
    </xf>
    <xf numFmtId="165" fontId="2" fillId="2" borderId="18" xfId="0" applyNumberFormat="1" applyFont="1" applyFill="1" applyBorder="1" applyAlignment="1">
      <alignment horizontal="center" vertical="top"/>
    </xf>
    <xf numFmtId="164" fontId="2" fillId="2" borderId="25" xfId="0" applyNumberFormat="1" applyFont="1" applyFill="1" applyBorder="1" applyAlignment="1">
      <alignment vertical="top" wrapText="1"/>
    </xf>
    <xf numFmtId="164" fontId="2" fillId="2" borderId="0" xfId="0" applyNumberFormat="1" applyFont="1" applyFill="1" applyBorder="1" applyAlignment="1">
      <alignment vertical="top" wrapText="1"/>
    </xf>
    <xf numFmtId="164" fontId="2" fillId="2" borderId="51" xfId="0" applyNumberFormat="1" applyFont="1" applyFill="1" applyBorder="1" applyAlignment="1">
      <alignment vertical="top" wrapText="1"/>
    </xf>
    <xf numFmtId="165" fontId="2" fillId="2" borderId="52" xfId="0" applyNumberFormat="1" applyFont="1" applyFill="1" applyBorder="1" applyAlignment="1">
      <alignment horizontal="left" vertical="top" wrapText="1"/>
    </xf>
    <xf numFmtId="164" fontId="2" fillId="2" borderId="53" xfId="0" applyNumberFormat="1" applyFont="1" applyFill="1" applyBorder="1" applyAlignment="1">
      <alignment vertical="top" wrapText="1"/>
    </xf>
    <xf numFmtId="165" fontId="7" fillId="2" borderId="33" xfId="0" applyNumberFormat="1" applyFont="1" applyFill="1" applyBorder="1" applyAlignment="1">
      <alignment vertical="top" wrapText="1"/>
    </xf>
    <xf numFmtId="164" fontId="2" fillId="2" borderId="34" xfId="0" applyNumberFormat="1" applyFont="1" applyFill="1" applyBorder="1" applyAlignment="1">
      <alignment vertical="top" wrapText="1"/>
    </xf>
    <xf numFmtId="164" fontId="2" fillId="2" borderId="54" xfId="0" applyNumberFormat="1" applyFont="1" applyFill="1" applyBorder="1" applyAlignment="1">
      <alignment horizontal="center" vertical="center"/>
    </xf>
    <xf numFmtId="164" fontId="2" fillId="2" borderId="46" xfId="0" applyNumberFormat="1" applyFont="1" applyFill="1" applyBorder="1" applyAlignment="1">
      <alignment vertical="top" wrapText="1"/>
    </xf>
    <xf numFmtId="165" fontId="5" fillId="2" borderId="55" xfId="0" applyNumberFormat="1" applyFont="1" applyFill="1" applyBorder="1" applyAlignment="1">
      <alignment vertical="center" wrapText="1"/>
    </xf>
    <xf numFmtId="165" fontId="2" fillId="2" borderId="42" xfId="0" applyNumberFormat="1" applyFont="1" applyFill="1" applyBorder="1" applyAlignment="1">
      <alignment horizontal="center" vertical="center"/>
    </xf>
    <xf numFmtId="165" fontId="2" fillId="2" borderId="42" xfId="0" applyNumberFormat="1" applyFont="1" applyFill="1" applyBorder="1" applyAlignment="1">
      <alignment horizontal="left" vertical="center"/>
    </xf>
    <xf numFmtId="165" fontId="5" fillId="2" borderId="45" xfId="0" applyNumberFormat="1" applyFont="1" applyFill="1" applyBorder="1" applyAlignment="1">
      <alignment horizontal="center" vertical="center"/>
    </xf>
    <xf numFmtId="4" fontId="5" fillId="2" borderId="46" xfId="0" applyNumberFormat="1" applyFont="1" applyFill="1" applyBorder="1" applyAlignment="1">
      <alignment horizontal="center" vertical="center"/>
    </xf>
    <xf numFmtId="165" fontId="5" fillId="2" borderId="46" xfId="0" applyNumberFormat="1" applyFont="1" applyFill="1" applyBorder="1" applyAlignment="1">
      <alignment horizontal="center" vertical="center"/>
    </xf>
    <xf numFmtId="165" fontId="2" fillId="2" borderId="56" xfId="0" applyNumberFormat="1" applyFont="1" applyFill="1" applyBorder="1" applyAlignment="1">
      <alignment vertical="center" wrapText="1"/>
    </xf>
    <xf numFmtId="165" fontId="2" fillId="2" borderId="0" xfId="0" applyNumberFormat="1" applyFont="1" applyFill="1" applyBorder="1" applyAlignment="1">
      <alignment vertical="center" wrapText="1"/>
    </xf>
    <xf numFmtId="165" fontId="5" fillId="2" borderId="0" xfId="0" applyNumberFormat="1" applyFont="1" applyFill="1" applyBorder="1" applyAlignment="1">
      <alignment horizontal="left" vertical="top" wrapText="1"/>
    </xf>
    <xf numFmtId="164" fontId="5" fillId="2" borderId="30" xfId="0" applyNumberFormat="1" applyFont="1" applyFill="1" applyBorder="1" applyAlignment="1">
      <alignment vertical="center"/>
    </xf>
    <xf numFmtId="164" fontId="2" fillId="2" borderId="10" xfId="0" applyNumberFormat="1" applyFont="1" applyFill="1" applyBorder="1" applyAlignment="1">
      <alignment vertical="top" wrapText="1"/>
    </xf>
    <xf numFmtId="165" fontId="5" fillId="2" borderId="39" xfId="0" applyNumberFormat="1" applyFont="1" applyFill="1" applyBorder="1" applyAlignment="1">
      <alignment vertical="center"/>
    </xf>
    <xf numFmtId="165" fontId="5" fillId="2" borderId="0" xfId="0" applyNumberFormat="1" applyFont="1" applyFill="1" applyBorder="1" applyAlignment="1">
      <alignment vertical="center"/>
    </xf>
    <xf numFmtId="1" fontId="2" fillId="2" borderId="57" xfId="0" applyNumberFormat="1" applyFont="1" applyFill="1" applyBorder="1" applyAlignment="1">
      <alignment vertical="top"/>
    </xf>
    <xf numFmtId="0" fontId="2" fillId="3" borderId="34" xfId="0" applyFont="1" applyFill="1" applyBorder="1" applyAlignment="1">
      <alignment horizontal="left" vertical="top" wrapText="1"/>
    </xf>
    <xf numFmtId="0" fontId="2" fillId="3" borderId="0" xfId="0" applyFont="1" applyFill="1" applyBorder="1" applyAlignment="1">
      <alignment horizontal="left" vertical="top" wrapText="1"/>
    </xf>
    <xf numFmtId="164" fontId="2" fillId="2" borderId="33" xfId="0" applyNumberFormat="1" applyFont="1" applyFill="1" applyBorder="1" applyAlignment="1">
      <alignment horizontal="center" vertical="top" wrapText="1"/>
    </xf>
    <xf numFmtId="165" fontId="2" fillId="2" borderId="50" xfId="0" applyNumberFormat="1" applyFont="1" applyFill="1" applyBorder="1" applyAlignment="1">
      <alignment vertical="top" wrapText="1"/>
    </xf>
    <xf numFmtId="165" fontId="2" fillId="2" borderId="58" xfId="0" applyNumberFormat="1" applyFont="1" applyFill="1" applyBorder="1" applyAlignment="1">
      <alignment vertical="top" wrapText="1"/>
    </xf>
    <xf numFmtId="165" fontId="2" fillId="2" borderId="58" xfId="0" applyNumberFormat="1" applyFont="1" applyFill="1" applyBorder="1" applyAlignment="1">
      <alignment horizontal="left" vertical="top" wrapText="1"/>
    </xf>
    <xf numFmtId="165" fontId="2" fillId="2" borderId="58" xfId="0" applyNumberFormat="1" applyFont="1" applyFill="1" applyBorder="1" applyAlignment="1">
      <alignment vertical="top"/>
    </xf>
    <xf numFmtId="164" fontId="2" fillId="2" borderId="39" xfId="0" applyNumberFormat="1" applyFont="1" applyFill="1" applyBorder="1" applyAlignment="1">
      <alignment vertical="top" wrapText="1"/>
    </xf>
    <xf numFmtId="165" fontId="2" fillId="2" borderId="59" xfId="0" applyNumberFormat="1" applyFont="1" applyFill="1" applyBorder="1" applyAlignment="1">
      <alignment vertical="top" wrapText="1"/>
    </xf>
    <xf numFmtId="165" fontId="2" fillId="2" borderId="60" xfId="0" applyNumberFormat="1" applyFont="1" applyFill="1" applyBorder="1" applyAlignment="1">
      <alignment vertical="top" wrapText="1"/>
    </xf>
    <xf numFmtId="164" fontId="2" fillId="2" borderId="34" xfId="0" applyNumberFormat="1" applyFont="1" applyFill="1" applyBorder="1" applyAlignment="1">
      <alignment horizontal="left" vertical="top" wrapText="1"/>
    </xf>
    <xf numFmtId="164" fontId="2" fillId="2" borderId="0" xfId="0" applyNumberFormat="1" applyFont="1" applyFill="1" applyBorder="1" applyAlignment="1">
      <alignment horizontal="left" vertical="top" wrapText="1"/>
    </xf>
    <xf numFmtId="1" fontId="2" fillId="2" borderId="63" xfId="0" applyNumberFormat="1" applyFont="1" applyFill="1" applyBorder="1" applyAlignment="1">
      <alignment vertical="top"/>
    </xf>
    <xf numFmtId="0" fontId="2" fillId="3" borderId="33" xfId="0" applyFont="1" applyFill="1" applyBorder="1" applyAlignment="1">
      <alignment horizontal="justify" vertical="top" wrapText="1"/>
    </xf>
    <xf numFmtId="165" fontId="2" fillId="3" borderId="38" xfId="0" applyNumberFormat="1" applyFont="1" applyFill="1" applyBorder="1" applyAlignment="1">
      <alignment horizontal="left" vertical="top" wrapText="1"/>
    </xf>
    <xf numFmtId="165" fontId="2" fillId="2" borderId="38" xfId="0" applyNumberFormat="1" applyFont="1" applyFill="1" applyBorder="1" applyAlignment="1">
      <alignment vertical="top" wrapText="1"/>
    </xf>
    <xf numFmtId="165" fontId="2" fillId="2" borderId="38" xfId="0" applyNumberFormat="1" applyFont="1" applyFill="1" applyBorder="1" applyAlignment="1">
      <alignment horizontal="left" vertical="top" wrapText="1"/>
    </xf>
    <xf numFmtId="165" fontId="2" fillId="2" borderId="38" xfId="0" applyNumberFormat="1" applyFont="1" applyFill="1" applyBorder="1" applyAlignment="1">
      <alignment vertical="top"/>
    </xf>
    <xf numFmtId="165" fontId="2" fillId="2" borderId="39" xfId="0" applyNumberFormat="1" applyFont="1" applyFill="1" applyBorder="1" applyAlignment="1">
      <alignment horizontal="left" vertical="top" wrapText="1"/>
    </xf>
    <xf numFmtId="165" fontId="2" fillId="3" borderId="62" xfId="0" applyNumberFormat="1" applyFont="1" applyFill="1" applyBorder="1" applyAlignment="1">
      <alignment horizontal="left" vertical="top" wrapText="1"/>
    </xf>
    <xf numFmtId="165" fontId="2" fillId="2" borderId="51" xfId="0" applyNumberFormat="1" applyFont="1" applyFill="1" applyBorder="1" applyAlignment="1">
      <alignment vertical="top" wrapText="1"/>
    </xf>
    <xf numFmtId="165" fontId="2" fillId="3" borderId="33" xfId="0" applyNumberFormat="1" applyFont="1" applyFill="1" applyBorder="1" applyAlignment="1">
      <alignment vertical="top" wrapText="1"/>
    </xf>
    <xf numFmtId="165" fontId="2" fillId="3" borderId="33" xfId="0" applyNumberFormat="1" applyFont="1" applyFill="1" applyBorder="1" applyAlignment="1">
      <alignment horizontal="left" vertical="top" wrapText="1"/>
    </xf>
    <xf numFmtId="165" fontId="2" fillId="3" borderId="33" xfId="0" applyNumberFormat="1" applyFont="1" applyFill="1" applyBorder="1" applyAlignment="1">
      <alignment horizontal="right" vertical="top"/>
    </xf>
    <xf numFmtId="165" fontId="2" fillId="3" borderId="34" xfId="0" applyNumberFormat="1" applyFont="1" applyFill="1" applyBorder="1" applyAlignment="1">
      <alignment horizontal="left" vertical="top" wrapText="1"/>
    </xf>
    <xf numFmtId="165" fontId="2" fillId="3" borderId="0" xfId="0" applyNumberFormat="1" applyFont="1" applyFill="1" applyBorder="1" applyAlignment="1">
      <alignment horizontal="left" vertical="top" wrapText="1"/>
    </xf>
    <xf numFmtId="165" fontId="2" fillId="3" borderId="65" xfId="0" applyNumberFormat="1" applyFont="1" applyFill="1" applyBorder="1" applyAlignment="1">
      <alignment horizontal="left" vertical="top" wrapText="1"/>
    </xf>
    <xf numFmtId="165" fontId="2" fillId="2" borderId="10" xfId="0" applyNumberFormat="1" applyFont="1" applyFill="1" applyBorder="1" applyAlignment="1">
      <alignment vertical="top" wrapText="1"/>
    </xf>
    <xf numFmtId="165" fontId="2" fillId="2" borderId="10"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wrapText="1"/>
    </xf>
    <xf numFmtId="4" fontId="2" fillId="2" borderId="10" xfId="0" applyNumberFormat="1" applyFont="1" applyFill="1" applyBorder="1" applyAlignment="1">
      <alignment horizontal="right" vertical="top" wrapText="1"/>
    </xf>
    <xf numFmtId="165" fontId="2" fillId="2" borderId="66" xfId="0" applyNumberFormat="1" applyFont="1" applyFill="1" applyBorder="1" applyAlignment="1">
      <alignment horizontal="left" vertical="top" wrapText="1"/>
    </xf>
    <xf numFmtId="165" fontId="2" fillId="3" borderId="62" xfId="0" applyNumberFormat="1" applyFont="1" applyFill="1" applyBorder="1" applyAlignment="1">
      <alignment horizontal="justify" vertical="top" wrapText="1"/>
    </xf>
    <xf numFmtId="165" fontId="2" fillId="2" borderId="67" xfId="0" applyNumberFormat="1" applyFont="1" applyFill="1" applyBorder="1" applyAlignment="1">
      <alignment horizontal="left" vertical="top" wrapText="1"/>
    </xf>
    <xf numFmtId="165" fontId="2" fillId="2" borderId="68" xfId="0" applyNumberFormat="1" applyFont="1" applyFill="1" applyBorder="1" applyAlignment="1">
      <alignment horizontal="left" vertical="top" wrapText="1"/>
    </xf>
    <xf numFmtId="165" fontId="2" fillId="2" borderId="58" xfId="0" applyNumberFormat="1" applyFont="1" applyFill="1" applyBorder="1" applyAlignment="1">
      <alignment horizontal="right" vertical="top"/>
    </xf>
    <xf numFmtId="165" fontId="2" fillId="2" borderId="69" xfId="0" applyNumberFormat="1" applyFont="1" applyFill="1" applyBorder="1" applyAlignment="1">
      <alignment horizontal="left" vertical="top" wrapText="1"/>
    </xf>
    <xf numFmtId="165" fontId="2" fillId="2" borderId="70" xfId="0" applyNumberFormat="1" applyFont="1" applyFill="1" applyBorder="1" applyAlignment="1">
      <alignment vertical="top"/>
    </xf>
    <xf numFmtId="165" fontId="2" fillId="2" borderId="71" xfId="0" applyNumberFormat="1" applyFont="1" applyFill="1" applyBorder="1" applyAlignment="1">
      <alignment horizontal="left" vertical="top" wrapText="1"/>
    </xf>
    <xf numFmtId="165" fontId="2" fillId="2" borderId="16" xfId="0" applyNumberFormat="1" applyFont="1" applyFill="1" applyBorder="1" applyAlignment="1">
      <alignment vertical="top"/>
    </xf>
    <xf numFmtId="165" fontId="2" fillId="2" borderId="21" xfId="0" applyNumberFormat="1" applyFont="1" applyFill="1" applyBorder="1" applyAlignment="1">
      <alignment horizontal="left" vertical="top" wrapText="1"/>
    </xf>
    <xf numFmtId="165" fontId="2" fillId="2" borderId="51" xfId="0" applyNumberFormat="1" applyFont="1" applyFill="1" applyBorder="1" applyAlignment="1">
      <alignment horizontal="left" vertical="top" wrapText="1"/>
    </xf>
    <xf numFmtId="165" fontId="2" fillId="2" borderId="51" xfId="0" applyNumberFormat="1" applyFont="1" applyFill="1" applyBorder="1" applyAlignment="1">
      <alignment vertical="top"/>
    </xf>
    <xf numFmtId="165" fontId="2" fillId="2" borderId="72" xfId="0" applyNumberFormat="1" applyFont="1" applyFill="1" applyBorder="1" applyAlignment="1">
      <alignment horizontal="left" vertical="top" wrapText="1"/>
    </xf>
    <xf numFmtId="165" fontId="2" fillId="2" borderId="45" xfId="0" applyNumberFormat="1" applyFont="1" applyFill="1" applyBorder="1" applyAlignment="1">
      <alignment horizontal="left" vertical="top" wrapText="1"/>
    </xf>
    <xf numFmtId="165" fontId="2" fillId="2" borderId="46" xfId="0" applyNumberFormat="1" applyFont="1" applyFill="1" applyBorder="1" applyAlignment="1">
      <alignment vertical="top"/>
    </xf>
    <xf numFmtId="165" fontId="2" fillId="2" borderId="56" xfId="0" applyNumberFormat="1" applyFont="1" applyFill="1" applyBorder="1" applyAlignment="1">
      <alignment horizontal="left" vertical="top" wrapText="1"/>
    </xf>
    <xf numFmtId="165" fontId="2" fillId="3" borderId="42" xfId="0" applyNumberFormat="1" applyFont="1" applyFill="1" applyBorder="1" applyAlignment="1">
      <alignment horizontal="left" vertical="top" wrapText="1"/>
    </xf>
    <xf numFmtId="165" fontId="2" fillId="2" borderId="17" xfId="0" applyNumberFormat="1" applyFont="1" applyFill="1" applyBorder="1" applyAlignment="1">
      <alignment vertical="top"/>
    </xf>
    <xf numFmtId="165" fontId="2" fillId="2" borderId="47" xfId="0" applyNumberFormat="1" applyFont="1" applyFill="1" applyBorder="1" applyAlignment="1">
      <alignment horizontal="left" vertical="top" wrapText="1"/>
    </xf>
    <xf numFmtId="165" fontId="2" fillId="2" borderId="73" xfId="0" applyNumberFormat="1" applyFont="1" applyFill="1" applyBorder="1" applyAlignment="1">
      <alignment horizontal="left" vertical="top" wrapText="1"/>
    </xf>
    <xf numFmtId="165" fontId="2" fillId="2" borderId="73" xfId="0" applyNumberFormat="1" applyFont="1" applyFill="1" applyBorder="1" applyAlignment="1">
      <alignment horizontal="justify" vertical="top"/>
    </xf>
    <xf numFmtId="165" fontId="2" fillId="2" borderId="0" xfId="0" applyNumberFormat="1" applyFont="1" applyFill="1" applyBorder="1" applyAlignment="1">
      <alignment horizontal="justify" vertical="top"/>
    </xf>
    <xf numFmtId="165" fontId="2" fillId="2" borderId="53" xfId="0" applyNumberFormat="1" applyFont="1" applyFill="1" applyBorder="1" applyAlignment="1">
      <alignment horizontal="justify" vertical="top"/>
    </xf>
    <xf numFmtId="165" fontId="2" fillId="2" borderId="74" xfId="0" applyNumberFormat="1" applyFont="1" applyFill="1" applyBorder="1" applyAlignment="1">
      <alignment horizontal="left" vertical="top" wrapText="1"/>
    </xf>
    <xf numFmtId="165" fontId="2" fillId="2" borderId="75" xfId="0" applyNumberFormat="1" applyFont="1" applyFill="1" applyBorder="1" applyAlignment="1">
      <alignment horizontal="left" vertical="top" wrapText="1"/>
    </xf>
    <xf numFmtId="165" fontId="2" fillId="2" borderId="76" xfId="0" applyNumberFormat="1" applyFont="1" applyFill="1" applyBorder="1" applyAlignment="1">
      <alignment horizontal="left" vertical="top" wrapText="1"/>
    </xf>
    <xf numFmtId="165" fontId="2" fillId="2" borderId="25" xfId="0" applyNumberFormat="1" applyFont="1" applyFill="1" applyBorder="1" applyAlignment="1">
      <alignment horizontal="left" vertical="top" wrapText="1"/>
    </xf>
    <xf numFmtId="165" fontId="2" fillId="2" borderId="42" xfId="0" applyNumberFormat="1" applyFont="1" applyFill="1" applyBorder="1" applyAlignment="1">
      <alignment vertical="top"/>
    </xf>
    <xf numFmtId="165" fontId="2" fillId="2" borderId="43" xfId="0" applyNumberFormat="1" applyFont="1" applyFill="1" applyBorder="1" applyAlignment="1">
      <alignment horizontal="left" vertical="top" wrapText="1"/>
    </xf>
    <xf numFmtId="165" fontId="2" fillId="2" borderId="60" xfId="0" applyNumberFormat="1" applyFont="1" applyFill="1" applyBorder="1" applyAlignment="1">
      <alignment horizontal="left" vertical="top" wrapText="1"/>
    </xf>
    <xf numFmtId="1" fontId="2" fillId="2" borderId="64" xfId="0" applyNumberFormat="1" applyFont="1" applyFill="1" applyBorder="1" applyAlignment="1">
      <alignment vertical="top"/>
    </xf>
    <xf numFmtId="165" fontId="2" fillId="2" borderId="33" xfId="0" applyNumberFormat="1" applyFont="1" applyFill="1" applyBorder="1" applyAlignment="1">
      <alignment horizontal="center" vertical="top" wrapText="1"/>
    </xf>
    <xf numFmtId="0" fontId="2" fillId="3" borderId="39" xfId="0" applyFont="1" applyFill="1" applyBorder="1" applyAlignment="1">
      <alignment horizontal="justify" vertical="top"/>
    </xf>
    <xf numFmtId="165" fontId="2" fillId="2" borderId="42" xfId="0" applyNumberFormat="1" applyFont="1" applyFill="1" applyBorder="1" applyAlignment="1">
      <alignment horizontal="right" vertical="top"/>
    </xf>
    <xf numFmtId="0" fontId="2" fillId="3" borderId="43" xfId="0" applyFont="1" applyFill="1" applyBorder="1" applyAlignment="1">
      <alignment horizontal="left" vertical="top" wrapText="1"/>
    </xf>
    <xf numFmtId="164" fontId="5" fillId="2" borderId="80" xfId="0" applyNumberFormat="1" applyFont="1" applyFill="1" applyBorder="1" applyAlignment="1">
      <alignment vertical="top"/>
    </xf>
    <xf numFmtId="164" fontId="2" fillId="2" borderId="60" xfId="0" applyNumberFormat="1" applyFont="1" applyFill="1" applyBorder="1" applyAlignment="1">
      <alignment vertical="top" wrapText="1"/>
    </xf>
    <xf numFmtId="165" fontId="2" fillId="2" borderId="59" xfId="0" applyNumberFormat="1" applyFont="1" applyFill="1" applyBorder="1" applyAlignment="1">
      <alignment vertical="top"/>
    </xf>
    <xf numFmtId="165" fontId="2" fillId="2" borderId="56" xfId="0" applyNumberFormat="1" applyFont="1" applyFill="1" applyBorder="1" applyAlignment="1">
      <alignment vertical="top" wrapText="1"/>
    </xf>
    <xf numFmtId="164" fontId="2" fillId="2" borderId="62" xfId="0" applyNumberFormat="1" applyFont="1" applyFill="1" applyBorder="1"/>
    <xf numFmtId="164" fontId="2" fillId="2" borderId="33" xfId="0" applyNumberFormat="1" applyFont="1" applyFill="1" applyBorder="1"/>
    <xf numFmtId="165" fontId="2" fillId="2" borderId="81" xfId="0" applyNumberFormat="1" applyFont="1" applyFill="1" applyBorder="1" applyAlignment="1">
      <alignment horizontal="left" vertical="top" wrapText="1"/>
    </xf>
    <xf numFmtId="0" fontId="2" fillId="3" borderId="69" xfId="0" applyFont="1" applyFill="1" applyBorder="1" applyAlignment="1">
      <alignment horizontal="left" vertical="top" wrapText="1"/>
    </xf>
    <xf numFmtId="165" fontId="2" fillId="2" borderId="59" xfId="0" applyNumberFormat="1" applyFont="1" applyFill="1" applyBorder="1" applyAlignment="1">
      <alignment horizontal="left" vertical="top" wrapText="1"/>
    </xf>
    <xf numFmtId="165" fontId="2" fillId="2" borderId="52" xfId="0" applyNumberFormat="1" applyFont="1" applyFill="1" applyBorder="1" applyAlignment="1">
      <alignment vertical="top"/>
    </xf>
    <xf numFmtId="0" fontId="2" fillId="3" borderId="34" xfId="0" applyFont="1" applyFill="1" applyBorder="1" applyAlignment="1">
      <alignment vertical="top" wrapText="1"/>
    </xf>
    <xf numFmtId="0" fontId="2" fillId="3" borderId="0" xfId="0" applyFont="1" applyFill="1" applyBorder="1" applyAlignment="1">
      <alignment vertical="top" wrapText="1"/>
    </xf>
    <xf numFmtId="165" fontId="2" fillId="2" borderId="70" xfId="0" applyNumberFormat="1" applyFont="1" applyFill="1" applyBorder="1" applyAlignment="1">
      <alignment vertical="top" wrapText="1"/>
    </xf>
    <xf numFmtId="164" fontId="5" fillId="2" borderId="41" xfId="0" applyNumberFormat="1" applyFont="1" applyFill="1" applyBorder="1" applyAlignment="1">
      <alignment vertical="top"/>
    </xf>
    <xf numFmtId="165" fontId="2" fillId="2" borderId="82" xfId="0" applyNumberFormat="1" applyFont="1" applyFill="1" applyBorder="1" applyAlignment="1">
      <alignment horizontal="left" vertical="top" wrapText="1"/>
    </xf>
    <xf numFmtId="165" fontId="2" fillId="2" borderId="83" xfId="0" applyNumberFormat="1" applyFont="1" applyFill="1" applyBorder="1" applyAlignment="1">
      <alignment vertical="top"/>
    </xf>
    <xf numFmtId="164" fontId="5" fillId="2" borderId="30" xfId="0" applyNumberFormat="1" applyFont="1" applyFill="1" applyBorder="1" applyAlignment="1">
      <alignment vertical="top"/>
    </xf>
    <xf numFmtId="164" fontId="2" fillId="2" borderId="39" xfId="0" applyNumberFormat="1" applyFont="1" applyFill="1" applyBorder="1"/>
    <xf numFmtId="164" fontId="5" fillId="2" borderId="63" xfId="0" applyNumberFormat="1" applyFont="1" applyFill="1" applyBorder="1" applyAlignment="1">
      <alignment vertical="top"/>
    </xf>
    <xf numFmtId="165" fontId="2" fillId="2" borderId="78" xfId="0" applyNumberFormat="1" applyFont="1" applyFill="1" applyBorder="1" applyAlignment="1">
      <alignment horizontal="left" vertical="top" wrapText="1"/>
    </xf>
    <xf numFmtId="165" fontId="2" fillId="2" borderId="60" xfId="0" applyNumberFormat="1" applyFont="1" applyFill="1" applyBorder="1" applyAlignment="1">
      <alignment vertical="top"/>
    </xf>
    <xf numFmtId="164" fontId="2" fillId="2" borderId="84" xfId="0" applyNumberFormat="1" applyFont="1" applyFill="1" applyBorder="1" applyAlignment="1">
      <alignment horizontal="left" vertical="top" wrapText="1"/>
    </xf>
    <xf numFmtId="164" fontId="5" fillId="2" borderId="44" xfId="0" applyNumberFormat="1" applyFont="1" applyFill="1" applyBorder="1" applyAlignment="1">
      <alignment vertical="top"/>
    </xf>
    <xf numFmtId="164" fontId="2" fillId="2" borderId="82" xfId="0" applyNumberFormat="1" applyFont="1" applyFill="1" applyBorder="1" applyAlignment="1">
      <alignment horizontal="left" vertical="top" wrapText="1"/>
    </xf>
    <xf numFmtId="164" fontId="2" fillId="2" borderId="80" xfId="0" applyNumberFormat="1" applyFont="1" applyFill="1" applyBorder="1" applyAlignment="1">
      <alignment vertical="top"/>
    </xf>
    <xf numFmtId="164" fontId="2" fillId="2" borderId="46" xfId="0" applyNumberFormat="1" applyFont="1" applyFill="1" applyBorder="1" applyAlignment="1">
      <alignment horizontal="center" vertical="top" wrapText="1"/>
    </xf>
    <xf numFmtId="165" fontId="5" fillId="2" borderId="55" xfId="0" applyNumberFormat="1" applyFont="1" applyFill="1" applyBorder="1" applyAlignment="1">
      <alignment vertical="top" wrapText="1"/>
    </xf>
    <xf numFmtId="164" fontId="2" fillId="2" borderId="82" xfId="0" applyNumberFormat="1" applyFont="1" applyFill="1" applyBorder="1" applyAlignment="1">
      <alignment horizontal="left" vertical="top"/>
    </xf>
    <xf numFmtId="166" fontId="5" fillId="2" borderId="46" xfId="1" applyNumberFormat="1" applyFont="1" applyFill="1" applyBorder="1" applyAlignment="1">
      <alignment vertical="top" wrapText="1"/>
    </xf>
    <xf numFmtId="164" fontId="5" fillId="2" borderId="0" xfId="0" applyNumberFormat="1" applyFont="1" applyFill="1"/>
    <xf numFmtId="164" fontId="2" fillId="2" borderId="85" xfId="0" applyNumberFormat="1" applyFont="1" applyFill="1" applyBorder="1" applyAlignment="1">
      <alignment vertical="top"/>
    </xf>
    <xf numFmtId="165" fontId="4" fillId="2" borderId="0" xfId="0" applyNumberFormat="1" applyFont="1" applyFill="1" applyBorder="1" applyAlignment="1">
      <alignment horizontal="center" vertical="center"/>
    </xf>
    <xf numFmtId="165" fontId="4" fillId="2" borderId="0" xfId="0" applyNumberFormat="1" applyFont="1" applyFill="1" applyBorder="1" applyAlignment="1">
      <alignment horizontal="left" vertical="center"/>
    </xf>
    <xf numFmtId="164" fontId="2" fillId="2" borderId="63" xfId="0" applyNumberFormat="1" applyFont="1" applyFill="1" applyBorder="1" applyAlignment="1">
      <alignment vertical="top"/>
    </xf>
    <xf numFmtId="164" fontId="2" fillId="2" borderId="30" xfId="0" applyNumberFormat="1" applyFont="1" applyFill="1" applyBorder="1" applyAlignment="1">
      <alignment vertical="top"/>
    </xf>
    <xf numFmtId="165" fontId="2" fillId="2" borderId="42" xfId="0" applyNumberFormat="1" applyFont="1" applyFill="1" applyBorder="1" applyAlignment="1">
      <alignment horizontal="left" vertical="top" wrapText="1"/>
    </xf>
    <xf numFmtId="165" fontId="2" fillId="3" borderId="42" xfId="0" applyNumberFormat="1" applyFont="1" applyFill="1" applyBorder="1" applyAlignment="1">
      <alignment vertical="top"/>
    </xf>
    <xf numFmtId="4" fontId="2" fillId="2" borderId="42" xfId="0" applyNumberFormat="1" applyFont="1" applyFill="1" applyBorder="1" applyAlignment="1">
      <alignment horizontal="right" vertical="top" wrapText="1"/>
    </xf>
    <xf numFmtId="164" fontId="2" fillId="2" borderId="33" xfId="0" applyNumberFormat="1" applyFont="1" applyFill="1" applyBorder="1" applyAlignment="1">
      <alignment horizontal="left" vertical="top" wrapText="1"/>
    </xf>
    <xf numFmtId="4" fontId="2" fillId="2" borderId="33" xfId="0" applyNumberFormat="1" applyFont="1" applyFill="1" applyBorder="1" applyAlignment="1">
      <alignment horizontal="right" vertical="top" wrapText="1"/>
    </xf>
    <xf numFmtId="164" fontId="2" fillId="2" borderId="64" xfId="0" applyNumberFormat="1" applyFont="1" applyFill="1" applyBorder="1" applyAlignment="1">
      <alignment vertical="top"/>
    </xf>
    <xf numFmtId="165" fontId="5" fillId="2" borderId="33" xfId="0" applyNumberFormat="1" applyFont="1" applyFill="1" applyBorder="1" applyAlignment="1">
      <alignment vertical="top" wrapText="1"/>
    </xf>
    <xf numFmtId="165" fontId="5" fillId="2" borderId="33" xfId="0" applyNumberFormat="1" applyFont="1" applyFill="1" applyBorder="1" applyAlignment="1">
      <alignment horizontal="right" vertical="top"/>
    </xf>
    <xf numFmtId="4" fontId="5" fillId="2" borderId="33" xfId="0" applyNumberFormat="1" applyFont="1" applyFill="1" applyBorder="1" applyAlignment="1">
      <alignment horizontal="right" vertical="top" wrapText="1"/>
    </xf>
    <xf numFmtId="49" fontId="2" fillId="2" borderId="87" xfId="0" applyNumberFormat="1" applyFont="1" applyFill="1" applyBorder="1" applyAlignment="1">
      <alignment horizontal="left" vertical="top" wrapText="1"/>
    </xf>
    <xf numFmtId="49" fontId="2" fillId="2" borderId="0" xfId="0" applyNumberFormat="1" applyFont="1" applyFill="1" applyBorder="1" applyAlignment="1">
      <alignment horizontal="left" vertical="top" wrapText="1"/>
    </xf>
    <xf numFmtId="49" fontId="2" fillId="2" borderId="62" xfId="0" applyNumberFormat="1" applyFont="1" applyFill="1" applyBorder="1" applyAlignment="1">
      <alignment horizontal="left" vertical="top" wrapText="1"/>
    </xf>
    <xf numFmtId="49" fontId="2" fillId="2" borderId="65" xfId="0" applyNumberFormat="1" applyFont="1" applyFill="1" applyBorder="1" applyAlignment="1">
      <alignment horizontal="left" vertical="top" wrapText="1"/>
    </xf>
    <xf numFmtId="165" fontId="2" fillId="2" borderId="49" xfId="0" applyNumberFormat="1" applyFont="1" applyFill="1" applyBorder="1" applyAlignment="1">
      <alignment vertical="top" wrapText="1"/>
    </xf>
    <xf numFmtId="165" fontId="2" fillId="2" borderId="55" xfId="0" applyNumberFormat="1" applyFont="1" applyFill="1" applyBorder="1" applyAlignment="1">
      <alignment horizontal="right" vertical="top" wrapText="1"/>
    </xf>
    <xf numFmtId="165" fontId="2" fillId="2" borderId="45" xfId="0" applyNumberFormat="1" applyFont="1" applyFill="1" applyBorder="1" applyAlignment="1">
      <alignment horizontal="right" vertical="top"/>
    </xf>
    <xf numFmtId="165" fontId="2" fillId="2" borderId="46" xfId="0" applyNumberFormat="1" applyFont="1" applyFill="1" applyBorder="1" applyAlignment="1">
      <alignment horizontal="right" vertical="top" wrapText="1"/>
    </xf>
    <xf numFmtId="165" fontId="2" fillId="2" borderId="65" xfId="0" applyNumberFormat="1" applyFont="1" applyFill="1" applyBorder="1" applyAlignment="1">
      <alignment horizontal="left" vertical="top" wrapText="1"/>
    </xf>
    <xf numFmtId="165" fontId="2" fillId="2" borderId="42" xfId="0" applyNumberFormat="1" applyFont="1" applyFill="1" applyBorder="1" applyAlignment="1">
      <alignment horizontal="center" vertical="top" wrapText="1"/>
    </xf>
    <xf numFmtId="165" fontId="2" fillId="2" borderId="10" xfId="0" applyNumberFormat="1" applyFont="1" applyFill="1" applyBorder="1" applyAlignment="1">
      <alignment vertical="top"/>
    </xf>
    <xf numFmtId="165" fontId="2" fillId="2" borderId="10" xfId="0" applyNumberFormat="1" applyFont="1" applyFill="1" applyBorder="1" applyAlignment="1">
      <alignment horizontal="center" vertical="top" wrapText="1"/>
    </xf>
    <xf numFmtId="165" fontId="2" fillId="2" borderId="66" xfId="0" applyNumberFormat="1" applyFont="1" applyFill="1" applyBorder="1" applyAlignment="1">
      <alignment vertical="top" wrapText="1"/>
    </xf>
    <xf numFmtId="164" fontId="2" fillId="2" borderId="43" xfId="0" applyNumberFormat="1" applyFont="1" applyFill="1" applyBorder="1" applyAlignment="1">
      <alignment vertical="top" wrapText="1"/>
    </xf>
    <xf numFmtId="164" fontId="2" fillId="2" borderId="77" xfId="0" applyNumberFormat="1" applyFont="1" applyFill="1" applyBorder="1" applyAlignment="1">
      <alignment vertical="top"/>
    </xf>
    <xf numFmtId="164" fontId="2" fillId="2" borderId="33" xfId="0" applyNumberFormat="1" applyFont="1" applyFill="1" applyBorder="1" applyAlignment="1">
      <alignment vertical="top"/>
    </xf>
    <xf numFmtId="164" fontId="2" fillId="2" borderId="36" xfId="0" applyNumberFormat="1" applyFont="1" applyFill="1" applyBorder="1" applyAlignment="1">
      <alignment vertical="top" wrapText="1"/>
    </xf>
    <xf numFmtId="165" fontId="2" fillId="2" borderId="11" xfId="0" applyNumberFormat="1" applyFont="1" applyFill="1" applyBorder="1" applyAlignment="1">
      <alignment vertical="top" wrapText="1"/>
    </xf>
    <xf numFmtId="0" fontId="2" fillId="3" borderId="39" xfId="0" applyFont="1" applyFill="1" applyBorder="1" applyAlignment="1">
      <alignment vertical="top" wrapText="1"/>
    </xf>
    <xf numFmtId="165" fontId="5" fillId="2" borderId="36" xfId="0" applyNumberFormat="1" applyFont="1" applyFill="1" applyBorder="1" applyAlignment="1">
      <alignment horizontal="left" vertical="top" wrapText="1"/>
    </xf>
    <xf numFmtId="165" fontId="2" fillId="2" borderId="89" xfId="0" applyNumberFormat="1" applyFont="1" applyFill="1" applyBorder="1" applyAlignment="1">
      <alignment horizontal="center" vertical="top"/>
    </xf>
    <xf numFmtId="165" fontId="5" fillId="2" borderId="36" xfId="0" applyNumberFormat="1" applyFont="1" applyFill="1" applyBorder="1" applyAlignment="1">
      <alignment vertical="top" wrapText="1"/>
    </xf>
    <xf numFmtId="49" fontId="8" fillId="2" borderId="33" xfId="0" applyNumberFormat="1" applyFont="1" applyFill="1" applyBorder="1" applyAlignment="1">
      <alignment horizontal="left" vertical="top" wrapText="1"/>
    </xf>
    <xf numFmtId="165" fontId="2" fillId="2" borderId="42" xfId="0" applyNumberFormat="1" applyFont="1" applyFill="1" applyBorder="1" applyAlignment="1">
      <alignment horizontal="right" vertical="top" wrapText="1"/>
    </xf>
    <xf numFmtId="164" fontId="2" fillId="2" borderId="32" xfId="0" applyNumberFormat="1" applyFont="1" applyFill="1" applyBorder="1"/>
    <xf numFmtId="165" fontId="8" fillId="2" borderId="42" xfId="0" applyNumberFormat="1" applyFont="1" applyFill="1" applyBorder="1" applyAlignment="1">
      <alignment horizontal="left" vertical="top" wrapText="1"/>
    </xf>
    <xf numFmtId="165" fontId="2" fillId="2" borderId="42" xfId="0" applyNumberFormat="1" applyFont="1" applyFill="1" applyBorder="1" applyAlignment="1">
      <alignment horizontal="center" vertical="top"/>
    </xf>
    <xf numFmtId="0" fontId="2" fillId="3" borderId="87" xfId="0" applyFont="1" applyFill="1" applyBorder="1" applyAlignment="1">
      <alignment horizontal="left" vertical="top" wrapText="1"/>
    </xf>
    <xf numFmtId="49" fontId="5" fillId="2" borderId="33" xfId="0" applyNumberFormat="1" applyFont="1" applyFill="1" applyBorder="1" applyAlignment="1">
      <alignment horizontal="left" vertical="top" wrapText="1"/>
    </xf>
    <xf numFmtId="165" fontId="8" fillId="2" borderId="42" xfId="0" applyNumberFormat="1" applyFont="1" applyFill="1" applyBorder="1" applyAlignment="1">
      <alignment vertical="top" wrapText="1"/>
    </xf>
    <xf numFmtId="0" fontId="2" fillId="3" borderId="87" xfId="0" applyFont="1" applyFill="1" applyBorder="1" applyAlignment="1">
      <alignment horizontal="center" vertical="top" wrapText="1"/>
    </xf>
    <xf numFmtId="0" fontId="2" fillId="3" borderId="42" xfId="0" applyFont="1" applyFill="1" applyBorder="1" applyAlignment="1">
      <alignment vertical="top" wrapText="1"/>
    </xf>
    <xf numFmtId="0" fontId="2" fillId="3" borderId="42" xfId="0" applyFont="1" applyFill="1" applyBorder="1" applyAlignment="1">
      <alignment horizontal="left" vertical="top" wrapText="1"/>
    </xf>
    <xf numFmtId="164" fontId="2" fillId="2" borderId="41" xfId="0" applyNumberFormat="1" applyFont="1" applyFill="1" applyBorder="1" applyAlignment="1">
      <alignment horizontal="center" vertical="top"/>
    </xf>
    <xf numFmtId="0" fontId="2" fillId="3" borderId="33" xfId="0" applyFont="1" applyFill="1" applyBorder="1" applyAlignment="1">
      <alignment vertical="top" wrapText="1"/>
    </xf>
    <xf numFmtId="0" fontId="2" fillId="3" borderId="33" xfId="0" applyFont="1" applyFill="1" applyBorder="1" applyAlignment="1">
      <alignment horizontal="left" vertical="top" wrapText="1"/>
    </xf>
    <xf numFmtId="0" fontId="5" fillId="3" borderId="33" xfId="0" applyFont="1" applyFill="1" applyBorder="1" applyAlignment="1">
      <alignment vertical="top"/>
    </xf>
    <xf numFmtId="165" fontId="2" fillId="2" borderId="34" xfId="0" applyNumberFormat="1" applyFont="1" applyFill="1" applyBorder="1" applyAlignment="1">
      <alignment horizontal="left" vertical="center" wrapText="1"/>
    </xf>
    <xf numFmtId="165" fontId="2" fillId="2" borderId="0" xfId="0" applyNumberFormat="1" applyFont="1" applyFill="1" applyBorder="1" applyAlignment="1">
      <alignment horizontal="left" vertical="center" wrapText="1"/>
    </xf>
    <xf numFmtId="165" fontId="2" fillId="2" borderId="34" xfId="0" applyNumberFormat="1" applyFont="1" applyFill="1" applyBorder="1" applyAlignment="1">
      <alignment horizontal="justify" vertical="top"/>
    </xf>
    <xf numFmtId="0" fontId="5" fillId="3" borderId="42" xfId="0" applyFont="1" applyFill="1" applyBorder="1" applyAlignment="1">
      <alignment vertical="top"/>
    </xf>
    <xf numFmtId="165" fontId="2" fillId="2" borderId="56" xfId="0" applyNumberFormat="1" applyFont="1" applyFill="1" applyBorder="1" applyAlignment="1">
      <alignment horizontal="justify" vertical="top"/>
    </xf>
    <xf numFmtId="164" fontId="2" fillId="2" borderId="41" xfId="0" applyNumberFormat="1" applyFont="1" applyFill="1" applyBorder="1" applyAlignment="1">
      <alignment vertical="top"/>
    </xf>
    <xf numFmtId="164" fontId="2" fillId="3" borderId="46" xfId="0" applyNumberFormat="1" applyFont="1" applyFill="1" applyBorder="1" applyAlignment="1">
      <alignment vertical="top" wrapText="1"/>
    </xf>
    <xf numFmtId="165" fontId="2" fillId="3" borderId="46" xfId="0" applyNumberFormat="1" applyFont="1" applyFill="1" applyBorder="1" applyAlignment="1">
      <alignment horizontal="left" vertical="top" wrapText="1"/>
    </xf>
    <xf numFmtId="165" fontId="2" fillId="3" borderId="46" xfId="0" applyNumberFormat="1" applyFont="1" applyFill="1" applyBorder="1" applyAlignment="1">
      <alignment vertical="top" wrapText="1"/>
    </xf>
    <xf numFmtId="165" fontId="2" fillId="3" borderId="56" xfId="0" applyNumberFormat="1" applyFont="1" applyFill="1" applyBorder="1" applyAlignment="1">
      <alignment horizontal="left" vertical="top" wrapText="1"/>
    </xf>
    <xf numFmtId="164" fontId="2" fillId="2" borderId="46" xfId="0" applyNumberFormat="1" applyFont="1" applyFill="1" applyBorder="1" applyAlignment="1">
      <alignment horizontal="left" vertical="top" wrapText="1"/>
    </xf>
    <xf numFmtId="165" fontId="2" fillId="2" borderId="46" xfId="0" applyNumberFormat="1" applyFont="1" applyFill="1" applyBorder="1" applyAlignment="1">
      <alignment horizontal="justify" vertical="top"/>
    </xf>
    <xf numFmtId="164" fontId="2" fillId="2" borderId="57" xfId="0" applyNumberFormat="1" applyFont="1" applyFill="1" applyBorder="1" applyAlignment="1">
      <alignment vertical="top"/>
    </xf>
    <xf numFmtId="165" fontId="2" fillId="2" borderId="52" xfId="0" applyNumberFormat="1" applyFont="1" applyFill="1" applyBorder="1" applyAlignment="1">
      <alignment horizontal="right" vertical="top" wrapText="1"/>
    </xf>
    <xf numFmtId="164" fontId="2" fillId="2" borderId="63" xfId="0" applyNumberFormat="1" applyFont="1" applyFill="1" applyBorder="1" applyAlignment="1">
      <alignment horizontal="center" vertical="top"/>
    </xf>
    <xf numFmtId="49" fontId="2" fillId="2" borderId="33" xfId="0" applyNumberFormat="1" applyFont="1" applyFill="1" applyBorder="1" applyAlignment="1">
      <alignment horizontal="left" vertical="top" wrapText="1"/>
    </xf>
    <xf numFmtId="164" fontId="2" fillId="2" borderId="44" xfId="0" applyNumberFormat="1" applyFont="1" applyFill="1" applyBorder="1" applyAlignment="1">
      <alignment horizontal="center" vertical="top"/>
    </xf>
    <xf numFmtId="165" fontId="2" fillId="2" borderId="61" xfId="0" applyNumberFormat="1" applyFont="1" applyFill="1" applyBorder="1" applyAlignment="1">
      <alignment horizontal="left" vertical="top" wrapText="1"/>
    </xf>
    <xf numFmtId="164" fontId="2" fillId="2" borderId="91" xfId="0" applyNumberFormat="1" applyFont="1" applyFill="1" applyBorder="1" applyAlignment="1">
      <alignment horizontal="center" vertical="top"/>
    </xf>
    <xf numFmtId="4" fontId="2" fillId="2" borderId="33" xfId="0" applyNumberFormat="1" applyFont="1" applyFill="1" applyBorder="1" applyAlignment="1">
      <alignment vertical="top"/>
    </xf>
    <xf numFmtId="164" fontId="5" fillId="2" borderId="91" xfId="0" applyNumberFormat="1" applyFont="1" applyFill="1" applyBorder="1" applyAlignment="1">
      <alignment vertical="top" wrapText="1"/>
    </xf>
    <xf numFmtId="165" fontId="5" fillId="2" borderId="42" xfId="0" applyNumberFormat="1" applyFont="1" applyFill="1" applyBorder="1" applyAlignment="1">
      <alignment vertical="top" wrapText="1"/>
    </xf>
    <xf numFmtId="165" fontId="5" fillId="2" borderId="42" xfId="0" applyNumberFormat="1" applyFont="1" applyFill="1" applyBorder="1" applyAlignment="1">
      <alignment horizontal="left" vertical="top" wrapText="1"/>
    </xf>
    <xf numFmtId="166" fontId="5" fillId="2" borderId="45" xfId="1" applyNumberFormat="1" applyFont="1" applyFill="1" applyBorder="1" applyAlignment="1">
      <alignment horizontal="right" vertical="top" wrapText="1"/>
    </xf>
    <xf numFmtId="166" fontId="5" fillId="2" borderId="82" xfId="1" applyNumberFormat="1" applyFont="1" applyFill="1" applyBorder="1" applyAlignment="1">
      <alignment horizontal="right" vertical="top" wrapText="1"/>
    </xf>
    <xf numFmtId="165" fontId="5" fillId="2" borderId="34" xfId="0" applyNumberFormat="1" applyFont="1" applyFill="1" applyBorder="1" applyAlignment="1">
      <alignment vertical="top" wrapText="1"/>
    </xf>
    <xf numFmtId="165" fontId="5" fillId="2" borderId="0" xfId="0" applyNumberFormat="1" applyFont="1" applyFill="1" applyBorder="1" applyAlignment="1">
      <alignment vertical="top" wrapText="1"/>
    </xf>
    <xf numFmtId="1" fontId="2" fillId="2" borderId="92" xfId="0" applyNumberFormat="1" applyFont="1" applyFill="1" applyBorder="1" applyAlignment="1">
      <alignment horizontal="center" vertical="top"/>
    </xf>
    <xf numFmtId="165" fontId="2" fillId="2" borderId="51" xfId="0" applyNumberFormat="1" applyFont="1" applyFill="1" applyBorder="1" applyAlignment="1">
      <alignment horizontal="right" vertical="top"/>
    </xf>
    <xf numFmtId="165" fontId="2" fillId="2" borderId="72" xfId="0" applyNumberFormat="1" applyFont="1" applyFill="1" applyBorder="1" applyAlignment="1">
      <alignment vertical="top" wrapText="1"/>
    </xf>
    <xf numFmtId="165" fontId="2" fillId="2" borderId="39" xfId="0" applyNumberFormat="1" applyFont="1" applyFill="1" applyBorder="1" applyAlignment="1">
      <alignment vertical="top" wrapText="1"/>
    </xf>
    <xf numFmtId="165" fontId="2" fillId="2" borderId="61" xfId="0" applyNumberFormat="1" applyFont="1" applyFill="1" applyBorder="1" applyAlignment="1">
      <alignment vertical="top" wrapText="1"/>
    </xf>
    <xf numFmtId="165" fontId="2" fillId="2" borderId="60" xfId="0" applyNumberFormat="1" applyFont="1" applyFill="1" applyBorder="1" applyAlignment="1">
      <alignment horizontal="right" vertical="top"/>
    </xf>
    <xf numFmtId="165" fontId="2" fillId="2" borderId="84" xfId="0" applyNumberFormat="1" applyFont="1" applyFill="1" applyBorder="1" applyAlignment="1">
      <alignment vertical="top" wrapText="1"/>
    </xf>
    <xf numFmtId="165" fontId="2" fillId="2" borderId="16" xfId="0" applyNumberFormat="1" applyFont="1" applyFill="1" applyBorder="1" applyAlignment="1">
      <alignment horizontal="left" vertical="top" wrapText="1"/>
    </xf>
    <xf numFmtId="165" fontId="2" fillId="2" borderId="17"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xf>
    <xf numFmtId="0" fontId="2" fillId="3" borderId="72" xfId="0" applyFont="1" applyFill="1" applyBorder="1" applyAlignment="1">
      <alignment horizontal="left" vertical="top" wrapText="1"/>
    </xf>
    <xf numFmtId="164" fontId="2" fillId="2" borderId="42" xfId="0" applyNumberFormat="1" applyFont="1" applyFill="1" applyBorder="1" applyAlignment="1">
      <alignment horizontal="left" vertical="top" wrapText="1"/>
    </xf>
    <xf numFmtId="0" fontId="2" fillId="3" borderId="82" xfId="0" applyFont="1" applyFill="1" applyBorder="1" applyAlignment="1">
      <alignment horizontal="left" vertical="top" wrapText="1"/>
    </xf>
    <xf numFmtId="0" fontId="2" fillId="3" borderId="67" xfId="0" applyFont="1" applyFill="1" applyBorder="1" applyAlignment="1">
      <alignment horizontal="left" vertical="top" wrapText="1"/>
    </xf>
    <xf numFmtId="164" fontId="2" fillId="2" borderId="44" xfId="0" applyNumberFormat="1" applyFont="1" applyFill="1" applyBorder="1" applyAlignment="1">
      <alignment vertical="top"/>
    </xf>
    <xf numFmtId="165" fontId="2" fillId="2" borderId="86" xfId="0" applyNumberFormat="1" applyFont="1" applyFill="1" applyBorder="1" applyAlignment="1">
      <alignment horizontal="left" vertical="top" wrapText="1"/>
    </xf>
    <xf numFmtId="0" fontId="2" fillId="3" borderId="65" xfId="0" applyFont="1" applyFill="1" applyBorder="1" applyAlignment="1">
      <alignment horizontal="left" vertical="top" wrapText="1"/>
    </xf>
    <xf numFmtId="165" fontId="2" fillId="2" borderId="14" xfId="0" applyNumberFormat="1" applyFont="1" applyFill="1" applyBorder="1" applyAlignment="1">
      <alignment horizontal="right" vertical="top"/>
    </xf>
    <xf numFmtId="0" fontId="2" fillId="3" borderId="62" xfId="0" applyFont="1" applyFill="1" applyBorder="1" applyAlignment="1">
      <alignment horizontal="left" vertical="top" wrapText="1"/>
    </xf>
    <xf numFmtId="165" fontId="2" fillId="2" borderId="25" xfId="0" applyNumberFormat="1" applyFont="1" applyFill="1" applyBorder="1" applyAlignment="1">
      <alignment horizontal="left" vertical="center" wrapText="1"/>
    </xf>
    <xf numFmtId="165" fontId="2" fillId="2" borderId="38" xfId="0" applyNumberFormat="1" applyFont="1" applyFill="1" applyBorder="1" applyAlignment="1">
      <alignment horizontal="right" vertical="top" wrapText="1"/>
    </xf>
    <xf numFmtId="165" fontId="2" fillId="2" borderId="12" xfId="0" applyNumberFormat="1" applyFont="1" applyFill="1" applyBorder="1" applyAlignment="1">
      <alignment vertical="top" wrapText="1"/>
    </xf>
    <xf numFmtId="164" fontId="5" fillId="2" borderId="33" xfId="0" applyNumberFormat="1" applyFont="1" applyFill="1" applyBorder="1" applyAlignment="1">
      <alignment horizontal="left" vertical="top" wrapText="1"/>
    </xf>
    <xf numFmtId="165" fontId="5" fillId="2" borderId="82" xfId="0" applyNumberFormat="1" applyFont="1" applyFill="1" applyBorder="1" applyAlignment="1">
      <alignment vertical="top" wrapText="1"/>
    </xf>
    <xf numFmtId="165" fontId="5" fillId="2" borderId="46" xfId="0" applyNumberFormat="1" applyFont="1" applyFill="1" applyBorder="1" applyAlignment="1">
      <alignment horizontal="center" vertical="top" wrapText="1"/>
    </xf>
    <xf numFmtId="165" fontId="5" fillId="2" borderId="46" xfId="0" applyNumberFormat="1" applyFont="1" applyFill="1" applyBorder="1" applyAlignment="1">
      <alignment horizontal="left" vertical="top" wrapText="1"/>
    </xf>
    <xf numFmtId="165" fontId="5" fillId="2" borderId="46" xfId="0" applyNumberFormat="1" applyFont="1" applyFill="1" applyBorder="1" applyAlignment="1">
      <alignment vertical="top"/>
    </xf>
    <xf numFmtId="165" fontId="5" fillId="2" borderId="56" xfId="0" applyNumberFormat="1" applyFont="1" applyFill="1" applyBorder="1" applyAlignment="1">
      <alignment vertical="top"/>
    </xf>
    <xf numFmtId="165" fontId="5" fillId="2" borderId="0" xfId="0" applyNumberFormat="1" applyFont="1" applyFill="1" applyBorder="1" applyAlignment="1">
      <alignment vertical="top"/>
    </xf>
    <xf numFmtId="164" fontId="2" fillId="2" borderId="48" xfId="0" applyNumberFormat="1" applyFont="1" applyFill="1" applyBorder="1" applyAlignment="1">
      <alignment vertical="top"/>
    </xf>
    <xf numFmtId="165" fontId="2" fillId="2" borderId="59" xfId="0" applyNumberFormat="1" applyFont="1" applyFill="1" applyBorder="1" applyAlignment="1">
      <alignment horizontal="justify" vertical="top"/>
    </xf>
    <xf numFmtId="165" fontId="2" fillId="2" borderId="52" xfId="0" applyNumberFormat="1" applyFont="1" applyFill="1" applyBorder="1" applyAlignment="1">
      <alignment vertical="top" wrapText="1"/>
    </xf>
    <xf numFmtId="164" fontId="2" fillId="2" borderId="33" xfId="0" applyNumberFormat="1" applyFont="1" applyFill="1" applyBorder="1" applyAlignment="1">
      <alignment horizontal="left" vertical="top"/>
    </xf>
    <xf numFmtId="164" fontId="2" fillId="2" borderId="30" xfId="0" applyNumberFormat="1" applyFont="1" applyFill="1" applyBorder="1" applyAlignment="1">
      <alignment horizontal="center" vertical="top"/>
    </xf>
    <xf numFmtId="164" fontId="2" fillId="2" borderId="36" xfId="0" applyNumberFormat="1" applyFont="1" applyFill="1" applyBorder="1" applyAlignment="1">
      <alignment horizontal="center" vertical="top" wrapText="1"/>
    </xf>
    <xf numFmtId="164" fontId="2" fillId="2" borderId="95" xfId="0" applyNumberFormat="1" applyFont="1" applyFill="1" applyBorder="1" applyAlignment="1">
      <alignment vertical="top"/>
    </xf>
    <xf numFmtId="165" fontId="2" fillId="2" borderId="38" xfId="0" applyNumberFormat="1" applyFont="1" applyFill="1" applyBorder="1" applyAlignment="1">
      <alignment horizontal="center" vertical="top" wrapText="1"/>
    </xf>
    <xf numFmtId="165" fontId="2" fillId="2" borderId="40" xfId="0" applyNumberFormat="1" applyFont="1" applyFill="1" applyBorder="1" applyAlignment="1">
      <alignment horizontal="left" vertical="top" wrapText="1"/>
    </xf>
    <xf numFmtId="164" fontId="2" fillId="2" borderId="38" xfId="0" applyNumberFormat="1" applyFont="1" applyFill="1" applyBorder="1" applyAlignment="1">
      <alignment horizontal="center" vertical="top" wrapText="1"/>
    </xf>
    <xf numFmtId="165" fontId="2" fillId="2" borderId="96" xfId="0" applyNumberFormat="1" applyFont="1" applyFill="1" applyBorder="1" applyAlignment="1">
      <alignment vertical="top" wrapText="1"/>
    </xf>
    <xf numFmtId="0" fontId="6" fillId="3" borderId="40" xfId="0" applyFont="1" applyFill="1" applyBorder="1" applyAlignment="1"/>
    <xf numFmtId="0" fontId="6" fillId="3" borderId="0" xfId="0" applyFont="1" applyFill="1" applyBorder="1" applyAlignment="1"/>
    <xf numFmtId="0" fontId="6" fillId="3" borderId="0" xfId="0" applyFont="1" applyFill="1" applyBorder="1" applyAlignment="1">
      <alignment horizontal="left"/>
    </xf>
    <xf numFmtId="164" fontId="2" fillId="2" borderId="42" xfId="0" applyNumberFormat="1" applyFont="1" applyFill="1" applyBorder="1" applyAlignment="1">
      <alignment horizontal="center" vertical="top" wrapText="1"/>
    </xf>
    <xf numFmtId="49" fontId="2" fillId="2" borderId="42" xfId="0" applyNumberFormat="1" applyFont="1" applyFill="1" applyBorder="1" applyAlignment="1">
      <alignment horizontal="left" vertical="top" wrapText="1"/>
    </xf>
    <xf numFmtId="165" fontId="2" fillId="2" borderId="45" xfId="0" applyNumberFormat="1" applyFont="1" applyFill="1" applyBorder="1" applyAlignment="1">
      <alignment vertical="top" wrapText="1"/>
    </xf>
    <xf numFmtId="165" fontId="2" fillId="2" borderId="46" xfId="0" applyNumberFormat="1" applyFont="1" applyFill="1" applyBorder="1" applyAlignment="1">
      <alignment horizontal="center" vertical="top" wrapText="1"/>
    </xf>
    <xf numFmtId="164" fontId="2" fillId="2" borderId="97" xfId="0" applyNumberFormat="1" applyFont="1" applyFill="1" applyBorder="1" applyAlignment="1">
      <alignment vertical="top"/>
    </xf>
    <xf numFmtId="165" fontId="2" fillId="2" borderId="65" xfId="0" applyNumberFormat="1" applyFont="1" applyFill="1" applyBorder="1" applyAlignment="1">
      <alignment vertical="top" wrapText="1"/>
    </xf>
    <xf numFmtId="0" fontId="6" fillId="3" borderId="43" xfId="0" applyFont="1" applyFill="1" applyBorder="1" applyAlignment="1"/>
    <xf numFmtId="165" fontId="2" fillId="2" borderId="98" xfId="0" applyNumberFormat="1" applyFont="1" applyFill="1" applyBorder="1" applyAlignment="1">
      <alignment horizontal="left" vertical="top" wrapText="1"/>
    </xf>
    <xf numFmtId="164" fontId="2" fillId="2" borderId="36" xfId="0" applyNumberFormat="1" applyFont="1" applyFill="1" applyBorder="1" applyAlignment="1">
      <alignment horizontal="left" vertical="top" wrapText="1"/>
    </xf>
    <xf numFmtId="165" fontId="2" fillId="2" borderId="50" xfId="0" applyNumberFormat="1" applyFont="1" applyFill="1" applyBorder="1" applyAlignment="1">
      <alignment horizontal="left" vertical="top" wrapText="1"/>
    </xf>
    <xf numFmtId="165" fontId="2" fillId="2" borderId="12" xfId="0" applyNumberFormat="1" applyFont="1" applyFill="1" applyBorder="1" applyAlignment="1">
      <alignment horizontal="right" vertical="top"/>
    </xf>
    <xf numFmtId="164" fontId="2" fillId="2" borderId="99" xfId="0" applyNumberFormat="1" applyFont="1" applyFill="1" applyBorder="1" applyAlignment="1">
      <alignment vertical="top"/>
    </xf>
    <xf numFmtId="165" fontId="5" fillId="2" borderId="60" xfId="0" applyNumberFormat="1" applyFont="1" applyFill="1" applyBorder="1" applyAlignment="1">
      <alignment vertical="top" wrapText="1"/>
    </xf>
    <xf numFmtId="165" fontId="2" fillId="2" borderId="60" xfId="0" applyNumberFormat="1" applyFont="1" applyFill="1" applyBorder="1" applyAlignment="1">
      <alignment horizontal="center" vertical="top" wrapText="1"/>
    </xf>
    <xf numFmtId="165" fontId="5" fillId="2" borderId="60" xfId="0" applyNumberFormat="1" applyFont="1" applyFill="1" applyBorder="1" applyAlignment="1">
      <alignment horizontal="center" vertical="top"/>
    </xf>
    <xf numFmtId="165" fontId="2" fillId="2" borderId="84" xfId="0" applyNumberFormat="1" applyFont="1" applyFill="1" applyBorder="1" applyAlignment="1">
      <alignment horizontal="center" vertical="top" wrapText="1"/>
    </xf>
    <xf numFmtId="164" fontId="2" fillId="2" borderId="10" xfId="0" applyNumberFormat="1" applyFont="1" applyFill="1" applyBorder="1" applyAlignment="1">
      <alignment vertical="top"/>
    </xf>
    <xf numFmtId="165" fontId="2" fillId="2" borderId="94" xfId="0" applyNumberFormat="1" applyFont="1" applyFill="1" applyBorder="1" applyAlignment="1">
      <alignment horizontal="left" vertical="top" wrapText="1"/>
    </xf>
    <xf numFmtId="165" fontId="2" fillId="2" borderId="15" xfId="0" applyNumberFormat="1" applyFont="1" applyFill="1" applyBorder="1" applyAlignment="1">
      <alignment horizontal="left" vertical="top" wrapText="1"/>
    </xf>
    <xf numFmtId="1" fontId="2" fillId="2" borderId="99" xfId="0" applyNumberFormat="1" applyFont="1" applyFill="1" applyBorder="1" applyAlignment="1">
      <alignment horizontal="center" vertical="top"/>
    </xf>
    <xf numFmtId="164" fontId="2" fillId="2" borderId="85" xfId="0" applyNumberFormat="1" applyFont="1" applyFill="1" applyBorder="1" applyAlignment="1">
      <alignment horizontal="center" vertical="top"/>
    </xf>
    <xf numFmtId="165" fontId="2" fillId="2" borderId="102" xfId="0" applyNumberFormat="1" applyFont="1" applyFill="1" applyBorder="1" applyAlignment="1">
      <alignment horizontal="left" vertical="top" wrapText="1"/>
    </xf>
    <xf numFmtId="165" fontId="2" fillId="2" borderId="20" xfId="0" applyNumberFormat="1" applyFont="1" applyFill="1" applyBorder="1" applyAlignment="1">
      <alignment vertical="top"/>
    </xf>
    <xf numFmtId="165" fontId="2" fillId="2" borderId="21" xfId="0" applyNumberFormat="1" applyFont="1" applyFill="1" applyBorder="1" applyAlignment="1">
      <alignment vertical="top" wrapText="1"/>
    </xf>
    <xf numFmtId="164" fontId="7" fillId="2" borderId="42" xfId="0" applyNumberFormat="1" applyFont="1" applyFill="1" applyBorder="1" applyAlignment="1">
      <alignment vertical="top" wrapText="1"/>
    </xf>
    <xf numFmtId="164" fontId="2" fillId="2" borderId="67" xfId="0" applyNumberFormat="1" applyFont="1" applyFill="1" applyBorder="1" applyAlignment="1">
      <alignment vertical="top" wrapText="1"/>
    </xf>
    <xf numFmtId="0" fontId="2" fillId="3" borderId="42" xfId="0" applyFont="1" applyFill="1" applyBorder="1" applyAlignment="1">
      <alignment horizontal="justify" vertical="top"/>
    </xf>
    <xf numFmtId="164" fontId="2" fillId="2" borderId="84" xfId="0" applyNumberFormat="1" applyFont="1" applyFill="1" applyBorder="1" applyAlignment="1">
      <alignment vertical="top" wrapText="1"/>
    </xf>
    <xf numFmtId="0" fontId="2" fillId="3" borderId="33" xfId="0" applyFont="1" applyFill="1" applyBorder="1" applyAlignment="1">
      <alignment horizontal="justify" vertical="top"/>
    </xf>
    <xf numFmtId="165" fontId="2" fillId="2" borderId="16" xfId="0" applyNumberFormat="1" applyFont="1" applyFill="1" applyBorder="1" applyAlignment="1">
      <alignment vertical="top" wrapText="1"/>
    </xf>
    <xf numFmtId="165" fontId="2" fillId="2" borderId="14" xfId="0" applyNumberFormat="1" applyFont="1" applyFill="1" applyBorder="1" applyAlignment="1">
      <alignment horizontal="left" vertical="top" wrapText="1"/>
    </xf>
    <xf numFmtId="165" fontId="2" fillId="2" borderId="55" xfId="0" applyNumberFormat="1" applyFont="1" applyFill="1" applyBorder="1" applyAlignment="1">
      <alignment horizontal="left" vertical="top" wrapText="1"/>
    </xf>
    <xf numFmtId="4" fontId="2" fillId="2" borderId="33" xfId="0" applyNumberFormat="1" applyFont="1" applyFill="1" applyBorder="1" applyAlignment="1">
      <alignment vertical="top" wrapText="1"/>
    </xf>
    <xf numFmtId="0" fontId="2" fillId="4" borderId="45" xfId="0" applyFont="1" applyFill="1" applyBorder="1" applyAlignment="1">
      <alignment vertical="top" wrapText="1"/>
    </xf>
    <xf numFmtId="165" fontId="2" fillId="4" borderId="46" xfId="0" applyNumberFormat="1" applyFont="1" applyFill="1" applyBorder="1" applyAlignment="1">
      <alignment vertical="top" wrapText="1"/>
    </xf>
    <xf numFmtId="165" fontId="2" fillId="4" borderId="46" xfId="0" applyNumberFormat="1" applyFont="1" applyFill="1" applyBorder="1" applyAlignment="1">
      <alignment horizontal="left" vertical="top" wrapText="1"/>
    </xf>
    <xf numFmtId="165" fontId="2" fillId="4" borderId="56" xfId="0" applyNumberFormat="1" applyFont="1" applyFill="1" applyBorder="1" applyAlignment="1">
      <alignment horizontal="left" vertical="top" wrapText="1"/>
    </xf>
    <xf numFmtId="165" fontId="2" fillId="4" borderId="0" xfId="0" applyNumberFormat="1" applyFont="1" applyFill="1" applyBorder="1" applyAlignment="1">
      <alignment horizontal="left" vertical="top" wrapText="1"/>
    </xf>
    <xf numFmtId="165" fontId="2" fillId="2" borderId="14" xfId="0" applyNumberFormat="1" applyFont="1" applyFill="1" applyBorder="1" applyAlignment="1">
      <alignment vertical="top" wrapText="1"/>
    </xf>
    <xf numFmtId="165" fontId="2" fillId="2" borderId="90" xfId="0" applyNumberFormat="1" applyFont="1" applyFill="1" applyBorder="1" applyAlignment="1">
      <alignment horizontal="left" vertical="top" wrapText="1"/>
    </xf>
    <xf numFmtId="164" fontId="2" fillId="2" borderId="99" xfId="0" applyNumberFormat="1" applyFont="1" applyFill="1" applyBorder="1" applyAlignment="1">
      <alignment horizontal="center" vertical="top"/>
    </xf>
    <xf numFmtId="164" fontId="2" fillId="2" borderId="60" xfId="0" applyNumberFormat="1" applyFont="1" applyFill="1" applyBorder="1" applyAlignment="1">
      <alignment horizontal="left" vertical="top" wrapText="1"/>
    </xf>
    <xf numFmtId="4" fontId="5" fillId="2" borderId="60" xfId="0" applyNumberFormat="1" applyFont="1" applyFill="1" applyBorder="1" applyAlignment="1">
      <alignment vertical="top"/>
    </xf>
    <xf numFmtId="164" fontId="2" fillId="2" borderId="103" xfId="0" applyNumberFormat="1" applyFont="1" applyFill="1" applyBorder="1" applyAlignment="1">
      <alignment vertical="top"/>
    </xf>
    <xf numFmtId="1" fontId="2" fillId="2" borderId="91" xfId="0" applyNumberFormat="1" applyFont="1" applyFill="1" applyBorder="1" applyAlignment="1">
      <alignment vertical="top"/>
    </xf>
    <xf numFmtId="165" fontId="2" fillId="2" borderId="82" xfId="0" applyNumberFormat="1" applyFont="1" applyFill="1" applyBorder="1" applyAlignment="1">
      <alignment horizontal="left" vertical="center" wrapText="1"/>
    </xf>
    <xf numFmtId="165" fontId="2" fillId="2" borderId="55" xfId="0" applyNumberFormat="1" applyFont="1" applyFill="1" applyBorder="1" applyAlignment="1">
      <alignment vertical="top" wrapText="1"/>
    </xf>
    <xf numFmtId="165" fontId="2" fillId="2" borderId="74" xfId="0" applyNumberFormat="1" applyFont="1" applyFill="1" applyBorder="1" applyAlignment="1">
      <alignment vertical="top" wrapText="1"/>
    </xf>
    <xf numFmtId="165" fontId="2" fillId="2" borderId="97" xfId="0" applyNumberFormat="1" applyFont="1" applyFill="1" applyBorder="1" applyAlignment="1">
      <alignment vertical="top" wrapText="1"/>
    </xf>
    <xf numFmtId="165" fontId="2" fillId="2" borderId="12" xfId="0" applyNumberFormat="1" applyFont="1" applyFill="1" applyBorder="1" applyAlignment="1">
      <alignment horizontal="right" vertical="top" wrapText="1"/>
    </xf>
    <xf numFmtId="164" fontId="2" fillId="2" borderId="0" xfId="0" applyNumberFormat="1" applyFont="1" applyFill="1" applyBorder="1" applyAlignment="1">
      <alignment vertical="top"/>
    </xf>
    <xf numFmtId="164" fontId="2" fillId="2" borderId="92" xfId="0" applyNumberFormat="1" applyFont="1" applyFill="1" applyBorder="1" applyAlignment="1">
      <alignment horizontal="center" vertical="top"/>
    </xf>
    <xf numFmtId="165" fontId="5" fillId="2" borderId="78" xfId="0" applyNumberFormat="1" applyFont="1" applyFill="1" applyBorder="1" applyAlignment="1">
      <alignment vertical="top" wrapText="1"/>
    </xf>
    <xf numFmtId="165" fontId="5" fillId="2" borderId="51" xfId="0" applyNumberFormat="1" applyFont="1" applyFill="1" applyBorder="1" applyAlignment="1">
      <alignment vertical="top"/>
    </xf>
    <xf numFmtId="1" fontId="2" fillId="2" borderId="105" xfId="0" applyNumberFormat="1" applyFont="1" applyFill="1" applyBorder="1" applyAlignment="1">
      <alignment horizontal="center" vertical="top"/>
    </xf>
    <xf numFmtId="165" fontId="2" fillId="2" borderId="98" xfId="0" applyNumberFormat="1" applyFont="1" applyFill="1" applyBorder="1" applyAlignment="1">
      <alignment vertical="top" wrapText="1"/>
    </xf>
    <xf numFmtId="165" fontId="2" fillId="2" borderId="73" xfId="0" applyNumberFormat="1" applyFont="1" applyFill="1" applyBorder="1" applyAlignment="1">
      <alignment vertical="top" wrapText="1"/>
    </xf>
    <xf numFmtId="165" fontId="2" fillId="2" borderId="59" xfId="0" applyNumberFormat="1" applyFont="1" applyFill="1" applyBorder="1" applyAlignment="1">
      <alignment horizontal="justify" vertical="top" wrapText="1"/>
    </xf>
    <xf numFmtId="165" fontId="2" fillId="2" borderId="78" xfId="0" applyNumberFormat="1" applyFont="1" applyFill="1" applyBorder="1" applyAlignment="1">
      <alignment horizontal="justify" vertical="top" wrapText="1"/>
    </xf>
    <xf numFmtId="165" fontId="2" fillId="2" borderId="16" xfId="0" applyNumberFormat="1" applyFont="1" applyFill="1" applyBorder="1" applyAlignment="1">
      <alignment horizontal="justify" vertical="top" wrapText="1"/>
    </xf>
    <xf numFmtId="164" fontId="2" fillId="2" borderId="58" xfId="0" applyNumberFormat="1" applyFont="1" applyFill="1" applyBorder="1" applyAlignment="1">
      <alignment vertical="top" wrapText="1"/>
    </xf>
    <xf numFmtId="165" fontId="2" fillId="2" borderId="45" xfId="0" applyNumberFormat="1" applyFont="1" applyFill="1" applyBorder="1" applyAlignment="1">
      <alignment horizontal="justify" vertical="top" wrapText="1"/>
    </xf>
    <xf numFmtId="164" fontId="2" fillId="2" borderId="80" xfId="0" applyNumberFormat="1" applyFont="1" applyFill="1" applyBorder="1" applyAlignment="1">
      <alignment horizontal="center" vertical="top"/>
    </xf>
    <xf numFmtId="165" fontId="2" fillId="2" borderId="46" xfId="0" applyNumberFormat="1" applyFont="1" applyFill="1" applyBorder="1" applyAlignment="1">
      <alignment horizontal="justify" vertical="top" wrapText="1"/>
    </xf>
    <xf numFmtId="164" fontId="5" fillId="2" borderId="0" xfId="0" applyNumberFormat="1" applyFont="1" applyFill="1" applyBorder="1"/>
    <xf numFmtId="164" fontId="2" fillId="2" borderId="106" xfId="0" applyNumberFormat="1" applyFont="1" applyFill="1" applyBorder="1" applyAlignment="1">
      <alignment horizontal="center" vertical="top"/>
    </xf>
    <xf numFmtId="164" fontId="5" fillId="2" borderId="33" xfId="0" applyNumberFormat="1" applyFont="1" applyFill="1" applyBorder="1" applyAlignment="1">
      <alignment vertical="top"/>
    </xf>
    <xf numFmtId="164" fontId="2" fillId="2" borderId="34" xfId="0" applyNumberFormat="1" applyFont="1" applyFill="1" applyBorder="1" applyAlignment="1">
      <alignment vertical="top"/>
    </xf>
    <xf numFmtId="164" fontId="2" fillId="2" borderId="0" xfId="0" applyNumberFormat="1" applyFont="1" applyFill="1" applyBorder="1" applyAlignment="1">
      <alignment horizontal="left" vertical="top"/>
    </xf>
    <xf numFmtId="1" fontId="2" fillId="2" borderId="107" xfId="0" applyNumberFormat="1" applyFont="1" applyFill="1" applyBorder="1" applyAlignment="1">
      <alignment horizontal="center" vertical="top"/>
    </xf>
    <xf numFmtId="165" fontId="2" fillId="2" borderId="0" xfId="0" applyNumberFormat="1" applyFont="1" applyFill="1" applyBorder="1" applyAlignment="1">
      <alignment horizontal="right" vertical="top" wrapText="1"/>
    </xf>
    <xf numFmtId="165" fontId="2" fillId="2" borderId="33" xfId="0" applyNumberFormat="1" applyFont="1" applyFill="1" applyBorder="1" applyAlignment="1">
      <alignment horizontal="justify" vertical="top" wrapText="1"/>
    </xf>
    <xf numFmtId="165" fontId="2" fillId="2" borderId="51" xfId="0" applyNumberFormat="1" applyFont="1" applyFill="1" applyBorder="1" applyAlignment="1">
      <alignment horizontal="justify" vertical="top" wrapText="1"/>
    </xf>
    <xf numFmtId="165" fontId="5" fillId="2" borderId="45" xfId="0" applyNumberFormat="1" applyFont="1" applyFill="1" applyBorder="1" applyAlignment="1">
      <alignment vertical="top" wrapText="1"/>
    </xf>
    <xf numFmtId="165" fontId="2" fillId="2" borderId="56" xfId="0" applyNumberFormat="1" applyFont="1" applyFill="1" applyBorder="1" applyAlignment="1">
      <alignment vertical="top"/>
    </xf>
    <xf numFmtId="165" fontId="2" fillId="2" borderId="0" xfId="0" applyNumberFormat="1" applyFont="1" applyFill="1" applyBorder="1" applyAlignment="1">
      <alignment vertical="top"/>
    </xf>
    <xf numFmtId="165" fontId="2" fillId="2" borderId="0" xfId="0" applyNumberFormat="1" applyFont="1" applyFill="1" applyBorder="1" applyAlignment="1">
      <alignment horizontal="left" vertical="top"/>
    </xf>
    <xf numFmtId="164" fontId="2" fillId="2" borderId="11" xfId="0" applyNumberFormat="1" applyFont="1" applyFill="1" applyBorder="1" applyAlignment="1">
      <alignment vertical="top" wrapText="1"/>
    </xf>
    <xf numFmtId="165" fontId="2" fillId="2" borderId="67" xfId="0" applyNumberFormat="1" applyFont="1" applyFill="1" applyBorder="1" applyAlignment="1">
      <alignment vertical="top"/>
    </xf>
    <xf numFmtId="49" fontId="2" fillId="2" borderId="79" xfId="0" applyNumberFormat="1" applyFont="1" applyFill="1" applyBorder="1" applyAlignment="1">
      <alignment vertical="top"/>
    </xf>
    <xf numFmtId="165" fontId="2" fillId="4" borderId="33" xfId="0" applyNumberFormat="1" applyFont="1" applyFill="1" applyBorder="1" applyAlignment="1">
      <alignment horizontal="right" vertical="top" wrapText="1"/>
    </xf>
    <xf numFmtId="165" fontId="2" fillId="2" borderId="25" xfId="0" applyNumberFormat="1" applyFont="1" applyFill="1" applyBorder="1" applyAlignment="1">
      <alignment vertical="top" wrapText="1"/>
    </xf>
    <xf numFmtId="165" fontId="2" fillId="2" borderId="62" xfId="0" applyNumberFormat="1" applyFont="1" applyFill="1" applyBorder="1" applyAlignment="1">
      <alignment horizontal="left" vertical="top" wrapText="1"/>
    </xf>
    <xf numFmtId="165" fontId="2" fillId="2" borderId="38" xfId="0" applyNumberFormat="1" applyFont="1" applyFill="1" applyBorder="1" applyAlignment="1">
      <alignment horizontal="right" vertical="top"/>
    </xf>
    <xf numFmtId="165" fontId="2" fillId="4" borderId="38" xfId="0" applyNumberFormat="1" applyFont="1" applyFill="1" applyBorder="1" applyAlignment="1">
      <alignment horizontal="right" vertical="top" wrapText="1"/>
    </xf>
    <xf numFmtId="165" fontId="5" fillId="2" borderId="46" xfId="0" applyNumberFormat="1" applyFont="1" applyFill="1" applyBorder="1" applyAlignment="1">
      <alignment vertical="top" wrapText="1"/>
    </xf>
    <xf numFmtId="165" fontId="5" fillId="2" borderId="33" xfId="0" applyNumberFormat="1" applyFont="1" applyFill="1" applyBorder="1" applyAlignment="1">
      <alignment vertical="top"/>
    </xf>
    <xf numFmtId="165" fontId="5" fillId="2" borderId="33" xfId="1" applyNumberFormat="1" applyFont="1" applyFill="1" applyBorder="1" applyAlignment="1">
      <alignment vertical="top"/>
    </xf>
    <xf numFmtId="165" fontId="2" fillId="2" borderId="34" xfId="0" applyNumberFormat="1" applyFont="1" applyFill="1" applyBorder="1" applyAlignment="1">
      <alignment vertical="top"/>
    </xf>
    <xf numFmtId="164" fontId="5" fillId="2" borderId="10" xfId="0" applyNumberFormat="1" applyFont="1" applyFill="1" applyBorder="1" applyAlignment="1">
      <alignment vertical="top"/>
    </xf>
    <xf numFmtId="165" fontId="5" fillId="2" borderId="47" xfId="0" applyNumberFormat="1" applyFont="1" applyFill="1" applyBorder="1" applyAlignment="1">
      <alignment vertical="top"/>
    </xf>
    <xf numFmtId="165" fontId="5" fillId="2" borderId="0" xfId="0" applyNumberFormat="1" applyFont="1" applyFill="1" applyBorder="1" applyAlignment="1">
      <alignment horizontal="left" vertical="top"/>
    </xf>
    <xf numFmtId="0" fontId="2" fillId="2" borderId="51" xfId="0" applyFont="1" applyFill="1" applyBorder="1" applyAlignment="1">
      <alignment vertical="top" wrapText="1"/>
    </xf>
    <xf numFmtId="165" fontId="5" fillId="2" borderId="51" xfId="0" applyNumberFormat="1" applyFont="1" applyFill="1" applyBorder="1" applyAlignment="1">
      <alignment horizontal="left" vertical="top" wrapText="1"/>
    </xf>
    <xf numFmtId="165" fontId="5" fillId="2" borderId="52" xfId="0" applyNumberFormat="1" applyFont="1" applyFill="1" applyBorder="1" applyAlignment="1">
      <alignment vertical="top"/>
    </xf>
    <xf numFmtId="0" fontId="12" fillId="3" borderId="42" xfId="0" applyFont="1" applyFill="1" applyBorder="1" applyAlignment="1">
      <alignment vertical="top"/>
    </xf>
    <xf numFmtId="0" fontId="2" fillId="4" borderId="33" xfId="0" applyFont="1" applyFill="1" applyBorder="1" applyAlignment="1">
      <alignment vertical="top" wrapText="1"/>
    </xf>
    <xf numFmtId="165" fontId="2" fillId="2" borderId="11" xfId="0" applyNumberFormat="1" applyFont="1" applyFill="1" applyBorder="1" applyAlignment="1">
      <alignment vertical="top"/>
    </xf>
    <xf numFmtId="165" fontId="5" fillId="2" borderId="50" xfId="0" applyNumberFormat="1" applyFont="1" applyFill="1" applyBorder="1" applyAlignment="1">
      <alignment horizontal="left" vertical="top" wrapText="1"/>
    </xf>
    <xf numFmtId="165" fontId="5" fillId="2" borderId="28" xfId="0" applyNumberFormat="1" applyFont="1" applyFill="1" applyBorder="1" applyAlignment="1">
      <alignment vertical="top"/>
    </xf>
    <xf numFmtId="165" fontId="5" fillId="2" borderId="45" xfId="0" applyNumberFormat="1" applyFont="1" applyFill="1" applyBorder="1" applyAlignment="1">
      <alignment horizontal="left" vertical="top" wrapText="1"/>
    </xf>
    <xf numFmtId="165" fontId="5" fillId="2" borderId="16" xfId="0" applyNumberFormat="1" applyFont="1" applyFill="1" applyBorder="1" applyAlignment="1">
      <alignment horizontal="left" vertical="top" wrapText="1"/>
    </xf>
    <xf numFmtId="165" fontId="5" fillId="2" borderId="10" xfId="0" applyNumberFormat="1" applyFont="1" applyFill="1" applyBorder="1" applyAlignment="1">
      <alignment vertical="top"/>
    </xf>
    <xf numFmtId="165" fontId="2" fillId="2" borderId="55" xfId="0" applyNumberFormat="1" applyFont="1" applyFill="1" applyBorder="1" applyAlignment="1">
      <alignment vertical="top"/>
    </xf>
    <xf numFmtId="165" fontId="2" fillId="2" borderId="14" xfId="0" applyNumberFormat="1" applyFont="1" applyFill="1" applyBorder="1" applyAlignment="1">
      <alignment vertical="top"/>
    </xf>
    <xf numFmtId="165" fontId="5" fillId="2" borderId="98" xfId="0" applyNumberFormat="1" applyFont="1" applyFill="1" applyBorder="1" applyAlignment="1">
      <alignment horizontal="left" vertical="top" wrapText="1"/>
    </xf>
    <xf numFmtId="165" fontId="5" fillId="2" borderId="20" xfId="0" applyNumberFormat="1" applyFont="1" applyFill="1" applyBorder="1" applyAlignment="1">
      <alignment vertical="top"/>
    </xf>
    <xf numFmtId="165" fontId="5" fillId="2" borderId="65" xfId="0" applyNumberFormat="1" applyFont="1" applyFill="1" applyBorder="1" applyAlignment="1">
      <alignment horizontal="left" vertical="top" wrapText="1"/>
    </xf>
    <xf numFmtId="165" fontId="5" fillId="2" borderId="42" xfId="0" applyNumberFormat="1" applyFont="1" applyFill="1" applyBorder="1" applyAlignment="1">
      <alignment vertical="top"/>
    </xf>
    <xf numFmtId="4" fontId="2" fillId="2" borderId="82" xfId="0" applyNumberFormat="1" applyFont="1" applyFill="1" applyBorder="1" applyAlignment="1">
      <alignment vertical="top"/>
    </xf>
    <xf numFmtId="165" fontId="2" fillId="2" borderId="45" xfId="0" applyNumberFormat="1" applyFont="1" applyFill="1" applyBorder="1" applyAlignment="1">
      <alignment vertical="top"/>
    </xf>
    <xf numFmtId="165" fontId="5" fillId="2" borderId="11" xfId="0" applyNumberFormat="1" applyFont="1" applyFill="1" applyBorder="1" applyAlignment="1">
      <alignment vertical="top"/>
    </xf>
    <xf numFmtId="165" fontId="2" fillId="2" borderId="62" xfId="0" applyNumberFormat="1" applyFont="1" applyFill="1" applyBorder="1" applyAlignment="1">
      <alignment vertical="top" wrapText="1"/>
    </xf>
    <xf numFmtId="165" fontId="2" fillId="2" borderId="20" xfId="0" applyNumberFormat="1" applyFont="1" applyFill="1" applyBorder="1" applyAlignment="1">
      <alignment horizontal="center" vertical="top" wrapText="1"/>
    </xf>
    <xf numFmtId="164" fontId="2" fillId="2" borderId="48" xfId="0" applyNumberFormat="1" applyFont="1" applyFill="1" applyBorder="1" applyAlignment="1">
      <alignment horizontal="center" vertical="top"/>
    </xf>
    <xf numFmtId="164" fontId="2" fillId="2" borderId="10" xfId="0" applyNumberFormat="1" applyFont="1" applyFill="1" applyBorder="1" applyAlignment="1">
      <alignment horizontal="left" vertical="top" wrapText="1"/>
    </xf>
    <xf numFmtId="0" fontId="2" fillId="2" borderId="33" xfId="0" applyFont="1" applyFill="1" applyBorder="1" applyAlignment="1">
      <alignment vertical="top" wrapText="1"/>
    </xf>
    <xf numFmtId="165" fontId="13" fillId="2" borderId="32" xfId="0" applyNumberFormat="1" applyFont="1" applyFill="1" applyBorder="1" applyAlignment="1">
      <alignment vertical="top" wrapText="1"/>
    </xf>
    <xf numFmtId="0" fontId="2" fillId="2" borderId="42" xfId="0" applyFont="1" applyFill="1" applyBorder="1" applyAlignment="1">
      <alignment horizontal="center" vertical="top" wrapText="1"/>
    </xf>
    <xf numFmtId="4" fontId="2" fillId="2" borderId="42" xfId="0" applyNumberFormat="1" applyFont="1" applyFill="1" applyBorder="1" applyAlignment="1">
      <alignment vertical="top"/>
    </xf>
    <xf numFmtId="165" fontId="2" fillId="2" borderId="12" xfId="0" applyNumberFormat="1" applyFont="1" applyFill="1" applyBorder="1" applyAlignment="1">
      <alignment vertical="top"/>
    </xf>
    <xf numFmtId="165" fontId="2" fillId="2" borderId="77" xfId="0" applyNumberFormat="1" applyFont="1" applyFill="1" applyBorder="1" applyAlignment="1">
      <alignment vertical="top"/>
    </xf>
    <xf numFmtId="165" fontId="2" fillId="2" borderId="78" xfId="0" applyNumberFormat="1" applyFont="1" applyFill="1" applyBorder="1" applyAlignment="1">
      <alignment vertical="top"/>
    </xf>
    <xf numFmtId="165" fontId="5" fillId="2" borderId="17" xfId="0" applyNumberFormat="1" applyFont="1" applyFill="1" applyBorder="1" applyAlignment="1">
      <alignment vertical="top"/>
    </xf>
    <xf numFmtId="165" fontId="5" fillId="3" borderId="59" xfId="0" applyNumberFormat="1" applyFont="1" applyFill="1" applyBorder="1" applyAlignment="1">
      <alignment horizontal="left" vertical="top" wrapText="1"/>
    </xf>
    <xf numFmtId="165" fontId="2" fillId="3" borderId="51" xfId="0" applyNumberFormat="1" applyFont="1" applyFill="1" applyBorder="1" applyAlignment="1">
      <alignment vertical="top" wrapText="1"/>
    </xf>
    <xf numFmtId="165" fontId="5" fillId="3" borderId="51" xfId="0" applyNumberFormat="1" applyFont="1" applyFill="1" applyBorder="1" applyAlignment="1">
      <alignment horizontal="right" vertical="top"/>
    </xf>
    <xf numFmtId="165" fontId="2" fillId="3" borderId="10" xfId="0" applyNumberFormat="1" applyFont="1" applyFill="1" applyBorder="1" applyAlignment="1">
      <alignment vertical="top" wrapText="1"/>
    </xf>
    <xf numFmtId="165" fontId="2" fillId="3" borderId="11" xfId="0" applyNumberFormat="1" applyFont="1" applyFill="1" applyBorder="1" applyAlignment="1">
      <alignment horizontal="left" vertical="top" wrapText="1"/>
    </xf>
    <xf numFmtId="165" fontId="2" fillId="3" borderId="33" xfId="0" applyNumberFormat="1" applyFont="1" applyFill="1" applyBorder="1" applyAlignment="1">
      <alignment vertical="top"/>
    </xf>
    <xf numFmtId="4" fontId="3" fillId="3" borderId="0" xfId="0" applyNumberFormat="1" applyFont="1" applyFill="1" applyBorder="1" applyAlignment="1">
      <alignment wrapText="1"/>
    </xf>
    <xf numFmtId="165" fontId="2" fillId="3" borderId="52" xfId="0" applyNumberFormat="1" applyFont="1" applyFill="1" applyBorder="1" applyAlignment="1">
      <alignment vertical="top" wrapText="1"/>
    </xf>
    <xf numFmtId="165" fontId="2" fillId="3" borderId="32" xfId="0" applyNumberFormat="1" applyFont="1" applyFill="1" applyBorder="1" applyAlignment="1">
      <alignment horizontal="left" vertical="top" wrapText="1"/>
    </xf>
    <xf numFmtId="4" fontId="2" fillId="2" borderId="0" xfId="0" applyNumberFormat="1" applyFont="1" applyFill="1" applyBorder="1" applyAlignment="1">
      <alignment vertical="top"/>
    </xf>
    <xf numFmtId="0" fontId="2" fillId="3" borderId="0" xfId="0" applyFont="1" applyFill="1" applyBorder="1" applyAlignment="1">
      <alignment horizontal="left" vertical="center" wrapText="1"/>
    </xf>
    <xf numFmtId="165" fontId="14" fillId="2" borderId="32" xfId="0" applyNumberFormat="1" applyFont="1" applyFill="1" applyBorder="1" applyAlignment="1">
      <alignment vertical="top" wrapText="1"/>
    </xf>
    <xf numFmtId="164" fontId="2" fillId="2" borderId="54" xfId="0" applyNumberFormat="1" applyFont="1" applyFill="1" applyBorder="1" applyAlignment="1">
      <alignment horizontal="center" vertical="top"/>
    </xf>
    <xf numFmtId="167" fontId="2" fillId="2" borderId="0" xfId="0" applyNumberFormat="1" applyFont="1" applyFill="1" applyBorder="1"/>
    <xf numFmtId="1" fontId="2" fillId="2" borderId="79" xfId="0" applyNumberFormat="1" applyFont="1" applyFill="1" applyBorder="1" applyAlignment="1">
      <alignment vertical="top"/>
    </xf>
    <xf numFmtId="165" fontId="2" fillId="2" borderId="98" xfId="0" applyNumberFormat="1" applyFont="1" applyFill="1" applyBorder="1" applyAlignment="1">
      <alignment vertical="top"/>
    </xf>
    <xf numFmtId="0" fontId="2" fillId="3" borderId="84" xfId="0" applyFont="1" applyFill="1" applyBorder="1" applyAlignment="1">
      <alignment horizontal="left" vertical="top" wrapText="1"/>
    </xf>
    <xf numFmtId="0" fontId="2" fillId="3" borderId="43" xfId="0" applyFont="1" applyFill="1" applyBorder="1" applyAlignment="1">
      <alignment horizontal="justify" vertical="top" wrapText="1"/>
    </xf>
    <xf numFmtId="0" fontId="2" fillId="3" borderId="0" xfId="0" applyFont="1" applyFill="1" applyBorder="1" applyAlignment="1">
      <alignment horizontal="justify" vertical="top" wrapText="1"/>
    </xf>
    <xf numFmtId="0" fontId="2" fillId="3" borderId="86" xfId="0" applyFont="1" applyFill="1" applyBorder="1" applyAlignment="1">
      <alignment horizontal="left" vertical="top" wrapText="1"/>
    </xf>
    <xf numFmtId="0" fontId="2" fillId="3" borderId="38" xfId="0" applyFont="1" applyFill="1" applyBorder="1" applyAlignment="1">
      <alignment horizontal="left" vertical="top" wrapText="1"/>
    </xf>
    <xf numFmtId="0" fontId="2" fillId="3" borderId="39" xfId="0" applyFont="1" applyFill="1" applyBorder="1" applyAlignment="1">
      <alignment horizontal="left" vertical="top" wrapText="1"/>
    </xf>
    <xf numFmtId="0" fontId="2" fillId="3" borderId="34" xfId="0" applyFont="1" applyFill="1" applyBorder="1" applyAlignment="1">
      <alignment horizontal="justify" vertical="top" wrapText="1"/>
    </xf>
    <xf numFmtId="164" fontId="2" fillId="2" borderId="42" xfId="0" applyNumberFormat="1" applyFont="1" applyFill="1" applyBorder="1" applyAlignment="1">
      <alignment vertical="top"/>
    </xf>
    <xf numFmtId="0" fontId="2" fillId="3" borderId="67" xfId="0" applyFont="1" applyFill="1" applyBorder="1" applyAlignment="1">
      <alignment vertical="top" wrapText="1"/>
    </xf>
    <xf numFmtId="164" fontId="2" fillId="2" borderId="36" xfId="0" applyNumberFormat="1" applyFont="1" applyFill="1" applyBorder="1" applyAlignment="1">
      <alignment vertical="top"/>
    </xf>
    <xf numFmtId="165" fontId="5" fillId="2" borderId="68" xfId="0" applyNumberFormat="1" applyFont="1" applyFill="1" applyBorder="1" applyAlignment="1">
      <alignment vertical="top" wrapText="1"/>
    </xf>
    <xf numFmtId="165" fontId="5" fillId="2" borderId="36" xfId="0" applyNumberFormat="1" applyFont="1" applyFill="1" applyBorder="1" applyAlignment="1">
      <alignment horizontal="center" vertical="top"/>
    </xf>
    <xf numFmtId="165" fontId="5" fillId="2" borderId="18" xfId="0" applyNumberFormat="1" applyFont="1" applyFill="1" applyBorder="1" applyAlignment="1">
      <alignment vertical="top"/>
    </xf>
    <xf numFmtId="165" fontId="2" fillId="2" borderId="29" xfId="0" applyNumberFormat="1" applyFont="1" applyFill="1" applyBorder="1" applyAlignment="1">
      <alignment vertical="top" wrapText="1"/>
    </xf>
    <xf numFmtId="1" fontId="4" fillId="2" borderId="0" xfId="0" applyNumberFormat="1" applyFont="1" applyFill="1" applyBorder="1" applyAlignment="1">
      <alignment horizontal="center" vertical="center"/>
    </xf>
    <xf numFmtId="1" fontId="4" fillId="2" borderId="0" xfId="0" applyNumberFormat="1" applyFont="1" applyFill="1" applyBorder="1" applyAlignment="1">
      <alignment horizontal="left" vertical="center"/>
    </xf>
    <xf numFmtId="1" fontId="2" fillId="2" borderId="44" xfId="0" applyNumberFormat="1" applyFont="1" applyFill="1" applyBorder="1" applyAlignment="1">
      <alignment horizontal="center" vertical="top"/>
    </xf>
    <xf numFmtId="49" fontId="2" fillId="2" borderId="33" xfId="0" applyNumberFormat="1" applyFont="1" applyFill="1" applyBorder="1" applyAlignment="1">
      <alignment vertical="top" wrapText="1"/>
    </xf>
    <xf numFmtId="165" fontId="2" fillId="2" borderId="36" xfId="0" applyNumberFormat="1" applyFont="1" applyFill="1" applyBorder="1" applyAlignment="1">
      <alignment horizontal="center" vertical="top" wrapText="1"/>
    </xf>
    <xf numFmtId="2" fontId="2" fillId="2" borderId="0" xfId="0" applyNumberFormat="1" applyFont="1" applyFill="1" applyBorder="1"/>
    <xf numFmtId="1" fontId="2" fillId="2" borderId="79" xfId="0" applyNumberFormat="1" applyFont="1" applyFill="1" applyBorder="1" applyAlignment="1">
      <alignment horizontal="center" vertical="top"/>
    </xf>
    <xf numFmtId="49" fontId="2" fillId="2" borderId="36" xfId="0" applyNumberFormat="1" applyFont="1" applyFill="1" applyBorder="1" applyAlignment="1">
      <alignment horizontal="left" vertical="top" wrapText="1"/>
    </xf>
    <xf numFmtId="165" fontId="2" fillId="2" borderId="32" xfId="0" applyNumberFormat="1" applyFont="1" applyFill="1" applyBorder="1" applyAlignment="1">
      <alignment horizontal="right" vertical="top" wrapText="1"/>
    </xf>
    <xf numFmtId="1" fontId="2" fillId="2" borderId="64" xfId="0" applyNumberFormat="1" applyFont="1" applyFill="1" applyBorder="1" applyAlignment="1">
      <alignment horizontal="center" vertical="top"/>
    </xf>
    <xf numFmtId="49" fontId="2" fillId="2" borderId="38" xfId="0" applyNumberFormat="1" applyFont="1" applyFill="1" applyBorder="1" applyAlignment="1">
      <alignment horizontal="left" vertical="top" wrapText="1"/>
    </xf>
    <xf numFmtId="165" fontId="2" fillId="2" borderId="87" xfId="0" applyNumberFormat="1" applyFont="1" applyFill="1" applyBorder="1" applyAlignment="1">
      <alignment horizontal="right" vertical="top" wrapText="1"/>
    </xf>
    <xf numFmtId="168" fontId="2" fillId="2" borderId="38" xfId="0" applyNumberFormat="1" applyFont="1" applyFill="1" applyBorder="1" applyAlignment="1">
      <alignment horizontal="right" vertical="top"/>
    </xf>
    <xf numFmtId="4" fontId="2" fillId="3" borderId="33" xfId="0" applyNumberFormat="1" applyFont="1" applyFill="1" applyBorder="1" applyAlignment="1">
      <alignment horizontal="right" vertical="top" wrapText="1"/>
    </xf>
    <xf numFmtId="165" fontId="5" fillId="2" borderId="33" xfId="0" applyNumberFormat="1" applyFont="1" applyFill="1" applyBorder="1" applyAlignment="1">
      <alignment horizontal="center" vertical="top" wrapText="1"/>
    </xf>
    <xf numFmtId="168" fontId="5" fillId="2" borderId="33" xfId="0" applyNumberFormat="1" applyFont="1" applyFill="1" applyBorder="1" applyAlignment="1">
      <alignment horizontal="center" vertical="top"/>
    </xf>
    <xf numFmtId="4" fontId="5" fillId="2" borderId="33" xfId="0" applyNumberFormat="1" applyFont="1" applyFill="1" applyBorder="1" applyAlignment="1">
      <alignment horizontal="center" vertical="top"/>
    </xf>
    <xf numFmtId="168" fontId="5" fillId="2" borderId="0" xfId="0" applyNumberFormat="1" applyFont="1" applyFill="1" applyBorder="1" applyAlignment="1">
      <alignment horizontal="left" vertical="top" wrapText="1"/>
    </xf>
    <xf numFmtId="1" fontId="2" fillId="2" borderId="108" xfId="0" applyNumberFormat="1" applyFont="1" applyFill="1" applyBorder="1" applyAlignment="1">
      <alignment horizontal="center" vertical="top"/>
    </xf>
    <xf numFmtId="1" fontId="2" fillId="2" borderId="109" xfId="0" applyNumberFormat="1" applyFont="1" applyFill="1" applyBorder="1" applyAlignment="1">
      <alignment horizontal="center" vertical="top"/>
    </xf>
    <xf numFmtId="165" fontId="5" fillId="2" borderId="109" xfId="0" applyNumberFormat="1" applyFont="1" applyFill="1" applyBorder="1" applyAlignment="1">
      <alignment horizontal="center" vertical="top"/>
    </xf>
    <xf numFmtId="4" fontId="5" fillId="2" borderId="109" xfId="0" applyNumberFormat="1" applyFont="1" applyFill="1" applyBorder="1" applyAlignment="1">
      <alignment horizontal="center" vertical="top"/>
    </xf>
    <xf numFmtId="4" fontId="15" fillId="2" borderId="109" xfId="0" applyNumberFormat="1" applyFont="1" applyFill="1" applyBorder="1" applyAlignment="1">
      <alignment horizontal="center" vertical="top"/>
    </xf>
    <xf numFmtId="165" fontId="2" fillId="2" borderId="110" xfId="0" applyNumberFormat="1" applyFont="1" applyFill="1" applyBorder="1" applyAlignment="1">
      <alignment vertical="top" wrapText="1"/>
    </xf>
    <xf numFmtId="4" fontId="2" fillId="2" borderId="0" xfId="0" applyNumberFormat="1" applyFont="1" applyFill="1" applyBorder="1" applyAlignment="1">
      <alignment vertical="center"/>
    </xf>
    <xf numFmtId="4" fontId="2" fillId="2" borderId="0" xfId="0" applyNumberFormat="1" applyFont="1" applyFill="1" applyBorder="1"/>
    <xf numFmtId="1" fontId="2" fillId="2" borderId="0" xfId="0" applyNumberFormat="1" applyFont="1" applyFill="1" applyBorder="1" applyAlignment="1">
      <alignment horizontal="center" vertical="top"/>
    </xf>
    <xf numFmtId="164" fontId="2" fillId="2" borderId="0" xfId="0" applyNumberFormat="1" applyFont="1" applyFill="1" applyBorder="1" applyAlignment="1">
      <alignment horizontal="center"/>
    </xf>
    <xf numFmtId="0" fontId="16" fillId="3" borderId="0" xfId="0" applyFont="1" applyFill="1" applyAlignment="1"/>
    <xf numFmtId="0" fontId="3" fillId="3" borderId="0" xfId="0" applyFont="1" applyFill="1" applyAlignment="1"/>
    <xf numFmtId="164" fontId="3" fillId="3" borderId="0" xfId="0" applyNumberFormat="1" applyFont="1" applyFill="1" applyAlignment="1"/>
    <xf numFmtId="164" fontId="3" fillId="3" borderId="0" xfId="0" applyNumberFormat="1" applyFont="1" applyFill="1" applyBorder="1" applyAlignment="1"/>
    <xf numFmtId="167" fontId="17" fillId="3" borderId="0" xfId="0" applyNumberFormat="1" applyFont="1" applyFill="1"/>
    <xf numFmtId="0" fontId="16" fillId="3" borderId="0" xfId="0" applyFont="1" applyFill="1" applyAlignment="1">
      <alignment horizontal="left"/>
    </xf>
    <xf numFmtId="0" fontId="2" fillId="3" borderId="0" xfId="0" applyFont="1" applyFill="1" applyBorder="1"/>
    <xf numFmtId="0" fontId="16" fillId="3" borderId="0" xfId="0" applyFont="1" applyFill="1" applyAlignment="1">
      <alignment vertical="center"/>
    </xf>
    <xf numFmtId="164" fontId="16" fillId="3" borderId="0" xfId="0" applyNumberFormat="1" applyFont="1" applyFill="1" applyAlignment="1">
      <alignment horizontal="left"/>
    </xf>
    <xf numFmtId="168" fontId="16" fillId="3" borderId="0" xfId="0" applyNumberFormat="1" applyFont="1" applyFill="1" applyAlignment="1"/>
    <xf numFmtId="0" fontId="16" fillId="3" borderId="0" xfId="0" applyFont="1" applyFill="1" applyAlignment="1">
      <alignment horizontal="left" vertical="center"/>
    </xf>
    <xf numFmtId="4" fontId="3" fillId="2" borderId="0" xfId="0" applyNumberFormat="1" applyFont="1" applyFill="1" applyBorder="1" applyAlignment="1"/>
    <xf numFmtId="164" fontId="2" fillId="2" borderId="111" xfId="0" applyNumberFormat="1" applyFont="1" applyFill="1" applyBorder="1" applyAlignment="1"/>
    <xf numFmtId="0" fontId="2" fillId="3" borderId="0" xfId="0" applyFont="1" applyFill="1" applyBorder="1" applyAlignment="1">
      <alignment horizontal="left"/>
    </xf>
    <xf numFmtId="4" fontId="2" fillId="3" borderId="0" xfId="0" applyNumberFormat="1" applyFont="1" applyFill="1" applyBorder="1"/>
    <xf numFmtId="164" fontId="2" fillId="2" borderId="112" xfId="0" applyNumberFormat="1" applyFont="1" applyFill="1" applyBorder="1" applyAlignment="1"/>
    <xf numFmtId="168" fontId="2" fillId="2" borderId="0" xfId="0" applyNumberFormat="1" applyFont="1" applyFill="1" applyBorder="1" applyAlignment="1"/>
    <xf numFmtId="4" fontId="2" fillId="2" borderId="0" xfId="0" applyNumberFormat="1" applyFont="1" applyFill="1" applyBorder="1" applyAlignment="1"/>
    <xf numFmtId="168" fontId="2" fillId="2" borderId="0" xfId="0" applyNumberFormat="1" applyFont="1" applyFill="1" applyBorder="1" applyAlignment="1">
      <alignment horizontal="left"/>
    </xf>
    <xf numFmtId="2" fontId="2" fillId="2" borderId="0" xfId="0" applyNumberFormat="1" applyFont="1" applyFill="1"/>
    <xf numFmtId="2" fontId="8" fillId="2" borderId="0" xfId="0" applyNumberFormat="1" applyFont="1" applyFill="1" applyBorder="1" applyAlignment="1"/>
    <xf numFmtId="167" fontId="2" fillId="2" borderId="0" xfId="0" applyNumberFormat="1" applyFont="1" applyFill="1" applyBorder="1" applyAlignment="1"/>
    <xf numFmtId="165" fontId="2" fillId="2" borderId="0" xfId="0" applyNumberFormat="1" applyFont="1" applyFill="1" applyBorder="1" applyAlignment="1"/>
    <xf numFmtId="167" fontId="2" fillId="2" borderId="0" xfId="0" applyNumberFormat="1" applyFont="1" applyFill="1"/>
    <xf numFmtId="168" fontId="2" fillId="2" borderId="0" xfId="0" applyNumberFormat="1" applyFont="1" applyFill="1"/>
    <xf numFmtId="4" fontId="2" fillId="2" borderId="0" xfId="0" applyNumberFormat="1" applyFont="1" applyFill="1"/>
    <xf numFmtId="4" fontId="2" fillId="2" borderId="0" xfId="0" applyNumberFormat="1" applyFont="1" applyFill="1" applyAlignment="1">
      <alignment horizontal="left"/>
    </xf>
    <xf numFmtId="165" fontId="2" fillId="2" borderId="0" xfId="0" applyNumberFormat="1" applyFont="1" applyFill="1"/>
    <xf numFmtId="165" fontId="2" fillId="2" borderId="0" xfId="0" applyNumberFormat="1" applyFont="1" applyFill="1" applyAlignment="1">
      <alignment horizontal="left"/>
    </xf>
    <xf numFmtId="0" fontId="18" fillId="3" borderId="0" xfId="0" applyFont="1" applyFill="1" applyAlignment="1">
      <alignment horizontal="justify"/>
    </xf>
    <xf numFmtId="0" fontId="6" fillId="3" borderId="0" xfId="0" applyFont="1" applyFill="1"/>
    <xf numFmtId="4" fontId="3" fillId="2" borderId="0" xfId="0" applyNumberFormat="1" applyFont="1" applyFill="1"/>
    <xf numFmtId="4" fontId="2" fillId="2" borderId="42" xfId="0" applyNumberFormat="1" applyFont="1" applyFill="1" applyBorder="1" applyAlignment="1">
      <alignment horizontal="center" vertical="top" wrapText="1"/>
    </xf>
    <xf numFmtId="164" fontId="2" fillId="2" borderId="43" xfId="0" applyNumberFormat="1" applyFont="1" applyFill="1" applyBorder="1" applyAlignment="1">
      <alignment horizontal="left" vertical="top" wrapText="1"/>
    </xf>
    <xf numFmtId="165" fontId="2" fillId="2" borderId="11" xfId="0" applyNumberFormat="1" applyFont="1" applyFill="1" applyBorder="1" applyAlignment="1">
      <alignment horizontal="left" vertical="top" wrapText="1"/>
    </xf>
    <xf numFmtId="165" fontId="2" fillId="2" borderId="82" xfId="0" applyNumberFormat="1" applyFont="1" applyFill="1" applyBorder="1" applyAlignment="1">
      <alignment horizontal="left" wrapText="1"/>
    </xf>
    <xf numFmtId="168" fontId="2" fillId="2" borderId="36" xfId="0" applyNumberFormat="1" applyFont="1" applyFill="1" applyBorder="1" applyAlignment="1">
      <alignment horizontal="right" vertical="top"/>
    </xf>
    <xf numFmtId="165" fontId="2" fillId="2" borderId="35" xfId="0" applyNumberFormat="1" applyFont="1" applyFill="1" applyBorder="1" applyAlignment="1">
      <alignment horizontal="right" vertical="top" wrapText="1"/>
    </xf>
    <xf numFmtId="165" fontId="2" fillId="2" borderId="33" xfId="0" applyNumberFormat="1" applyFont="1" applyFill="1" applyBorder="1" applyAlignment="1">
      <alignment horizontal="justify" vertical="top"/>
    </xf>
    <xf numFmtId="0" fontId="2" fillId="3" borderId="0" xfId="0" applyFont="1" applyFill="1" applyAlignment="1">
      <alignment horizontal="center" vertical="center" wrapText="1"/>
    </xf>
    <xf numFmtId="164" fontId="2" fillId="2" borderId="0" xfId="0" applyNumberFormat="1" applyFont="1" applyFill="1" applyAlignment="1">
      <alignment horizontal="center"/>
    </xf>
    <xf numFmtId="164" fontId="4" fillId="2" borderId="0" xfId="0" applyNumberFormat="1" applyFont="1" applyFill="1" applyBorder="1" applyAlignment="1">
      <alignment horizontal="center" vertical="top"/>
    </xf>
    <xf numFmtId="164" fontId="5" fillId="2" borderId="1" xfId="0" applyNumberFormat="1" applyFont="1" applyFill="1" applyBorder="1" applyAlignment="1">
      <alignment horizontal="center" vertical="center" wrapText="1"/>
    </xf>
    <xf numFmtId="164" fontId="5" fillId="2" borderId="8" xfId="0" applyNumberFormat="1" applyFont="1" applyFill="1" applyBorder="1" applyAlignment="1">
      <alignment horizontal="center" vertical="center" wrapText="1"/>
    </xf>
    <xf numFmtId="164" fontId="5" fillId="2" borderId="2" xfId="0" applyNumberFormat="1" applyFont="1" applyFill="1" applyBorder="1" applyAlignment="1">
      <alignment horizontal="center" vertical="center"/>
    </xf>
    <xf numFmtId="164" fontId="5" fillId="2" borderId="9"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wrapText="1"/>
    </xf>
    <xf numFmtId="164" fontId="5" fillId="2" borderId="9" xfId="0" applyNumberFormat="1" applyFont="1" applyFill="1" applyBorder="1" applyAlignment="1">
      <alignment horizontal="center" vertical="center" wrapText="1"/>
    </xf>
    <xf numFmtId="164" fontId="5" fillId="2" borderId="3" xfId="0" applyNumberFormat="1" applyFont="1" applyFill="1" applyBorder="1" applyAlignment="1">
      <alignment horizontal="center" vertical="center" wrapText="1"/>
    </xf>
    <xf numFmtId="164" fontId="5" fillId="2" borderId="10" xfId="0" applyNumberFormat="1" applyFont="1" applyFill="1" applyBorder="1" applyAlignment="1">
      <alignment horizontal="center" vertical="center" wrapText="1"/>
    </xf>
    <xf numFmtId="164" fontId="5" fillId="2" borderId="17" xfId="0" applyNumberFormat="1" applyFont="1" applyFill="1" applyBorder="1" applyAlignment="1">
      <alignment horizontal="center" vertical="center" wrapText="1"/>
    </xf>
    <xf numFmtId="164" fontId="5" fillId="2" borderId="4" xfId="0" applyNumberFormat="1"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4" fontId="5" fillId="2" borderId="6" xfId="0" applyNumberFormat="1" applyFont="1" applyFill="1" applyBorder="1" applyAlignment="1">
      <alignment horizontal="center" vertical="center" wrapText="1"/>
    </xf>
    <xf numFmtId="164" fontId="5" fillId="2" borderId="11" xfId="0" applyNumberFormat="1" applyFont="1" applyFill="1" applyBorder="1" applyAlignment="1">
      <alignment horizontal="center" vertical="center" wrapText="1"/>
    </xf>
    <xf numFmtId="164" fontId="5" fillId="2" borderId="0" xfId="0" applyNumberFormat="1" applyFont="1" applyFill="1" applyBorder="1" applyAlignment="1">
      <alignment horizontal="center" vertical="center" wrapText="1"/>
    </xf>
    <xf numFmtId="164" fontId="5" fillId="2" borderId="12" xfId="0" applyNumberFormat="1" applyFont="1" applyFill="1" applyBorder="1" applyAlignment="1">
      <alignment horizontal="center" vertical="center" wrapText="1"/>
    </xf>
    <xf numFmtId="164" fontId="5" fillId="2" borderId="14" xfId="0" applyNumberFormat="1" applyFont="1" applyFill="1" applyBorder="1" applyAlignment="1">
      <alignment horizontal="center" vertical="center" wrapText="1"/>
    </xf>
    <xf numFmtId="164" fontId="5" fillId="2" borderId="15" xfId="0" applyNumberFormat="1" applyFont="1" applyFill="1" applyBorder="1" applyAlignment="1">
      <alignment horizontal="center" vertical="center" wrapText="1"/>
    </xf>
    <xf numFmtId="164" fontId="5" fillId="2" borderId="16" xfId="0" applyNumberFormat="1" applyFont="1" applyFill="1" applyBorder="1" applyAlignment="1">
      <alignment horizontal="center" vertical="center" wrapText="1"/>
    </xf>
    <xf numFmtId="164" fontId="5" fillId="2" borderId="7" xfId="0" applyNumberFormat="1" applyFont="1" applyFill="1" applyBorder="1" applyAlignment="1">
      <alignment horizontal="center" vertical="center" wrapText="1"/>
    </xf>
    <xf numFmtId="164" fontId="5" fillId="2" borderId="13" xfId="0" applyNumberFormat="1" applyFont="1" applyFill="1" applyBorder="1" applyAlignment="1">
      <alignment horizontal="center" vertical="center" wrapText="1"/>
    </xf>
    <xf numFmtId="165" fontId="2" fillId="2" borderId="38" xfId="0" applyNumberFormat="1" applyFont="1" applyFill="1" applyBorder="1" applyAlignment="1">
      <alignment horizontal="center" vertical="top"/>
    </xf>
    <xf numFmtId="165" fontId="2" fillId="2" borderId="39" xfId="0" applyNumberFormat="1" applyFont="1" applyFill="1" applyBorder="1" applyAlignment="1">
      <alignment horizontal="left" vertical="top" wrapText="1"/>
    </xf>
    <xf numFmtId="165" fontId="4" fillId="2" borderId="0" xfId="0" applyNumberFormat="1" applyFont="1" applyFill="1" applyBorder="1" applyAlignment="1">
      <alignment horizontal="center" vertical="center"/>
    </xf>
    <xf numFmtId="165" fontId="2" fillId="2" borderId="32" xfId="0" applyNumberFormat="1" applyFont="1" applyFill="1" applyBorder="1" applyAlignment="1">
      <alignment horizontal="center" vertical="top" wrapText="1"/>
    </xf>
    <xf numFmtId="165" fontId="2" fillId="2" borderId="61" xfId="0" applyNumberFormat="1" applyFont="1" applyFill="1" applyBorder="1" applyAlignment="1">
      <alignment horizontal="center" vertical="top" wrapText="1"/>
    </xf>
    <xf numFmtId="165" fontId="2" fillId="2" borderId="62" xfId="0" applyNumberFormat="1" applyFont="1" applyFill="1" applyBorder="1" applyAlignment="1">
      <alignment horizontal="center" vertical="top" wrapText="1"/>
    </xf>
    <xf numFmtId="1" fontId="2" fillId="2" borderId="64" xfId="0" applyNumberFormat="1" applyFont="1" applyFill="1" applyBorder="1" applyAlignment="1">
      <alignment horizontal="center" vertical="top"/>
    </xf>
    <xf numFmtId="164" fontId="2" fillId="2" borderId="33" xfId="0" applyNumberFormat="1" applyFont="1" applyFill="1" applyBorder="1" applyAlignment="1">
      <alignment horizontal="left" vertical="top" wrapText="1"/>
    </xf>
    <xf numFmtId="164" fontId="4" fillId="2" borderId="23" xfId="0" applyNumberFormat="1" applyFont="1" applyFill="1" applyBorder="1" applyAlignment="1">
      <alignment horizontal="center" vertical="center"/>
    </xf>
    <xf numFmtId="164" fontId="4" fillId="2" borderId="24" xfId="0" applyNumberFormat="1" applyFont="1" applyFill="1" applyBorder="1" applyAlignment="1">
      <alignment horizontal="center" vertical="center"/>
    </xf>
    <xf numFmtId="164" fontId="4" fillId="2" borderId="25" xfId="0" applyNumberFormat="1" applyFont="1" applyFill="1" applyBorder="1" applyAlignment="1">
      <alignment horizontal="center" vertical="center"/>
    </xf>
    <xf numFmtId="164" fontId="2" fillId="2" borderId="37" xfId="0" applyNumberFormat="1" applyFont="1" applyFill="1" applyBorder="1" applyAlignment="1">
      <alignment horizontal="left" vertical="top" wrapText="1"/>
    </xf>
    <xf numFmtId="165" fontId="2" fillId="2" borderId="37" xfId="0" applyNumberFormat="1" applyFont="1" applyFill="1" applyBorder="1" applyAlignment="1">
      <alignment horizontal="left" vertical="top" wrapText="1"/>
    </xf>
    <xf numFmtId="0" fontId="6" fillId="3" borderId="37" xfId="0" applyFont="1" applyFill="1" applyBorder="1"/>
    <xf numFmtId="165" fontId="2" fillId="2" borderId="37" xfId="0" applyNumberFormat="1" applyFont="1" applyFill="1" applyBorder="1" applyAlignment="1">
      <alignment horizontal="center" vertical="top" wrapText="1"/>
    </xf>
    <xf numFmtId="165" fontId="2" fillId="2" borderId="37" xfId="0" applyNumberFormat="1" applyFont="1" applyFill="1" applyBorder="1" applyAlignment="1">
      <alignment horizontal="center" vertical="top"/>
    </xf>
    <xf numFmtId="4" fontId="2" fillId="2" borderId="37" xfId="0" applyNumberFormat="1" applyFont="1" applyFill="1" applyBorder="1" applyAlignment="1">
      <alignment horizontal="center" vertical="top"/>
    </xf>
    <xf numFmtId="164" fontId="5" fillId="2" borderId="64" xfId="0" applyNumberFormat="1" applyFont="1" applyFill="1" applyBorder="1" applyAlignment="1">
      <alignment horizontal="center" vertical="top"/>
    </xf>
    <xf numFmtId="0" fontId="2" fillId="3" borderId="29" xfId="0" applyFont="1" applyFill="1" applyBorder="1" applyAlignment="1">
      <alignment horizontal="left" vertical="top" wrapText="1"/>
    </xf>
    <xf numFmtId="0" fontId="2" fillId="3" borderId="43" xfId="0" applyFont="1" applyFill="1" applyBorder="1" applyAlignment="1">
      <alignment horizontal="left" vertical="top" wrapText="1"/>
    </xf>
    <xf numFmtId="165" fontId="4" fillId="2" borderId="77" xfId="0" applyNumberFormat="1" applyFont="1" applyFill="1" applyBorder="1" applyAlignment="1">
      <alignment horizontal="center" vertical="center"/>
    </xf>
    <xf numFmtId="165" fontId="4" fillId="2" borderId="61" xfId="0" applyNumberFormat="1" applyFont="1" applyFill="1" applyBorder="1" applyAlignment="1">
      <alignment horizontal="center" vertical="center"/>
    </xf>
    <xf numFmtId="165" fontId="4" fillId="2" borderId="86" xfId="0" applyNumberFormat="1" applyFont="1" applyFill="1" applyBorder="1" applyAlignment="1">
      <alignment horizontal="center" vertical="center"/>
    </xf>
    <xf numFmtId="165" fontId="2" fillId="3" borderId="33" xfId="0" applyNumberFormat="1" applyFont="1" applyFill="1" applyBorder="1" applyAlignment="1">
      <alignment horizontal="center" vertical="top" wrapText="1"/>
    </xf>
    <xf numFmtId="165" fontId="2" fillId="3" borderId="33" xfId="0" applyNumberFormat="1" applyFont="1" applyFill="1" applyBorder="1" applyAlignment="1">
      <alignment horizontal="center" vertical="top"/>
    </xf>
    <xf numFmtId="165" fontId="2" fillId="2" borderId="29" xfId="0" applyNumberFormat="1" applyFont="1" applyFill="1" applyBorder="1" applyAlignment="1">
      <alignment horizontal="left" vertical="top" wrapText="1"/>
    </xf>
    <xf numFmtId="165" fontId="2" fillId="2" borderId="40" xfId="0" applyNumberFormat="1" applyFont="1" applyFill="1" applyBorder="1" applyAlignment="1">
      <alignment horizontal="left" vertical="top" wrapText="1"/>
    </xf>
    <xf numFmtId="164" fontId="2" fillId="2" borderId="64" xfId="0" applyNumberFormat="1" applyFont="1" applyFill="1" applyBorder="1" applyAlignment="1">
      <alignment horizontal="center" vertical="top"/>
    </xf>
    <xf numFmtId="165" fontId="2" fillId="2" borderId="77" xfId="0" applyNumberFormat="1" applyFont="1" applyFill="1" applyBorder="1" applyAlignment="1">
      <alignment horizontal="center" vertical="top" wrapText="1"/>
    </xf>
    <xf numFmtId="165" fontId="2" fillId="2" borderId="61" xfId="0" applyNumberFormat="1" applyFont="1" applyFill="1" applyBorder="1" applyAlignment="1">
      <alignment horizontal="center" vertical="top"/>
    </xf>
    <xf numFmtId="165" fontId="2" fillId="2" borderId="78" xfId="0" applyNumberFormat="1" applyFont="1" applyFill="1" applyBorder="1" applyAlignment="1">
      <alignment horizontal="center" vertical="top"/>
    </xf>
    <xf numFmtId="1" fontId="2" fillId="2" borderId="79" xfId="0" applyNumberFormat="1" applyFont="1" applyFill="1" applyBorder="1" applyAlignment="1">
      <alignment horizontal="center" vertical="top"/>
    </xf>
    <xf numFmtId="164" fontId="2" fillId="2" borderId="63" xfId="0" applyNumberFormat="1" applyFont="1" applyFill="1" applyBorder="1" applyAlignment="1">
      <alignment horizontal="center" vertical="top"/>
    </xf>
    <xf numFmtId="165" fontId="7" fillId="2" borderId="29" xfId="0" applyNumberFormat="1" applyFont="1" applyFill="1" applyBorder="1" applyAlignment="1">
      <alignment horizontal="left" vertical="top" wrapText="1"/>
    </xf>
    <xf numFmtId="165" fontId="7" fillId="2" borderId="43" xfId="0" applyNumberFormat="1" applyFont="1" applyFill="1" applyBorder="1" applyAlignment="1">
      <alignment horizontal="left" vertical="top" wrapText="1"/>
    </xf>
    <xf numFmtId="165" fontId="4" fillId="2" borderId="16" xfId="0" applyNumberFormat="1" applyFont="1" applyFill="1" applyBorder="1" applyAlignment="1">
      <alignment horizontal="center" vertical="top" wrapText="1"/>
    </xf>
    <xf numFmtId="165" fontId="4" fillId="2" borderId="17" xfId="0" applyNumberFormat="1" applyFont="1" applyFill="1" applyBorder="1" applyAlignment="1">
      <alignment horizontal="center" vertical="top" wrapText="1"/>
    </xf>
    <xf numFmtId="164" fontId="2" fillId="2" borderId="77" xfId="0" applyNumberFormat="1" applyFont="1" applyFill="1" applyBorder="1" applyAlignment="1">
      <alignment horizontal="center" vertical="top"/>
    </xf>
    <xf numFmtId="164" fontId="2" fillId="2" borderId="61" xfId="0" applyNumberFormat="1" applyFont="1" applyFill="1" applyBorder="1" applyAlignment="1">
      <alignment horizontal="center" vertical="top"/>
    </xf>
    <xf numFmtId="164" fontId="2" fillId="2" borderId="62" xfId="0" applyNumberFormat="1" applyFont="1" applyFill="1" applyBorder="1" applyAlignment="1">
      <alignment horizontal="center" vertical="top"/>
    </xf>
    <xf numFmtId="164" fontId="2" fillId="2" borderId="88" xfId="0" applyNumberFormat="1" applyFont="1" applyFill="1" applyBorder="1" applyAlignment="1">
      <alignment horizontal="center" vertical="top"/>
    </xf>
    <xf numFmtId="164" fontId="2" fillId="2" borderId="89" xfId="0" applyNumberFormat="1" applyFont="1" applyFill="1" applyBorder="1" applyAlignment="1">
      <alignment horizontal="center" vertical="top"/>
    </xf>
    <xf numFmtId="164" fontId="2" fillId="2" borderId="90" xfId="0" applyNumberFormat="1" applyFont="1" applyFill="1" applyBorder="1" applyAlignment="1">
      <alignment horizontal="center" vertical="top"/>
    </xf>
    <xf numFmtId="165" fontId="2" fillId="2" borderId="62" xfId="0" applyNumberFormat="1" applyFont="1" applyFill="1" applyBorder="1" applyAlignment="1">
      <alignment horizontal="center" vertical="top"/>
    </xf>
    <xf numFmtId="0" fontId="2" fillId="3" borderId="35"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87" xfId="0" applyFont="1" applyFill="1" applyBorder="1" applyAlignment="1">
      <alignment horizontal="left" vertical="top" wrapText="1"/>
    </xf>
    <xf numFmtId="165" fontId="2" fillId="2" borderId="33" xfId="0" applyNumberFormat="1" applyFont="1" applyFill="1" applyBorder="1" applyAlignment="1">
      <alignment horizontal="center" vertical="top" wrapText="1"/>
    </xf>
    <xf numFmtId="165" fontId="2" fillId="2" borderId="55" xfId="0" applyNumberFormat="1" applyFont="1" applyFill="1" applyBorder="1" applyAlignment="1">
      <alignment horizontal="center" vertical="top" wrapText="1"/>
    </xf>
    <xf numFmtId="165" fontId="2" fillId="2" borderId="82" xfId="0" applyNumberFormat="1" applyFont="1" applyFill="1" applyBorder="1" applyAlignment="1">
      <alignment horizontal="center" vertical="top" wrapText="1"/>
    </xf>
    <xf numFmtId="165" fontId="2" fillId="2" borderId="45" xfId="0" applyNumberFormat="1" applyFont="1" applyFill="1" applyBorder="1" applyAlignment="1">
      <alignment horizontal="center" vertical="top" wrapText="1"/>
    </xf>
    <xf numFmtId="165" fontId="2" fillId="2" borderId="67" xfId="0" applyNumberFormat="1" applyFont="1" applyFill="1" applyBorder="1" applyAlignment="1">
      <alignment horizontal="left" vertical="top" wrapText="1"/>
    </xf>
    <xf numFmtId="165" fontId="2" fillId="2" borderId="77" xfId="0" applyNumberFormat="1" applyFont="1" applyFill="1" applyBorder="1" applyAlignment="1">
      <alignment horizontal="center" vertical="top"/>
    </xf>
    <xf numFmtId="165" fontId="2" fillId="2" borderId="93" xfId="0" applyNumberFormat="1" applyFont="1" applyFill="1" applyBorder="1" applyAlignment="1">
      <alignment horizontal="center" vertical="top" wrapText="1"/>
    </xf>
    <xf numFmtId="165" fontId="2" fillId="2" borderId="94" xfId="0" applyNumberFormat="1" applyFont="1" applyFill="1" applyBorder="1" applyAlignment="1">
      <alignment horizontal="center" vertical="top" wrapText="1"/>
    </xf>
    <xf numFmtId="49" fontId="2" fillId="2" borderId="36" xfId="0" applyNumberFormat="1" applyFont="1" applyFill="1" applyBorder="1" applyAlignment="1">
      <alignment horizontal="left" vertical="top" wrapText="1"/>
    </xf>
    <xf numFmtId="49" fontId="2" fillId="2" borderId="38" xfId="0" applyNumberFormat="1" applyFont="1" applyFill="1" applyBorder="1" applyAlignment="1">
      <alignment horizontal="left" vertical="top" wrapText="1"/>
    </xf>
    <xf numFmtId="165" fontId="2" fillId="2" borderId="10" xfId="0" applyNumberFormat="1" applyFont="1" applyFill="1" applyBorder="1" applyAlignment="1">
      <alignment horizontal="center" vertical="top" wrapText="1"/>
    </xf>
    <xf numFmtId="165" fontId="2" fillId="2" borderId="36" xfId="0" applyNumberFormat="1" applyFont="1" applyFill="1" applyBorder="1" applyAlignment="1">
      <alignment horizontal="center" vertical="top" wrapText="1"/>
    </xf>
    <xf numFmtId="165" fontId="2" fillId="2" borderId="38" xfId="0" applyNumberFormat="1" applyFont="1" applyFill="1" applyBorder="1" applyAlignment="1">
      <alignment horizontal="center" vertical="top" wrapText="1"/>
    </xf>
    <xf numFmtId="165" fontId="2" fillId="2" borderId="42" xfId="0" applyNumberFormat="1" applyFont="1" applyFill="1" applyBorder="1" applyAlignment="1">
      <alignment horizontal="center" vertical="top" wrapText="1"/>
    </xf>
    <xf numFmtId="165" fontId="2" fillId="3" borderId="46" xfId="0" applyNumberFormat="1" applyFont="1" applyFill="1" applyBorder="1" applyAlignment="1">
      <alignment horizontal="center" vertical="top" wrapText="1"/>
    </xf>
    <xf numFmtId="165" fontId="2" fillId="2" borderId="46" xfId="0" applyNumberFormat="1" applyFont="1" applyFill="1" applyBorder="1" applyAlignment="1">
      <alignment horizontal="center" vertical="top" wrapText="1"/>
    </xf>
    <xf numFmtId="165" fontId="2" fillId="2" borderId="34" xfId="0" applyNumberFormat="1" applyFont="1" applyFill="1" applyBorder="1" applyAlignment="1">
      <alignment horizontal="left" vertical="top" wrapText="1"/>
    </xf>
    <xf numFmtId="164" fontId="2" fillId="2" borderId="79" xfId="0" applyNumberFormat="1" applyFont="1" applyFill="1" applyBorder="1" applyAlignment="1">
      <alignment horizontal="center" vertical="top"/>
    </xf>
    <xf numFmtId="165" fontId="2" fillId="4" borderId="77" xfId="0" applyNumberFormat="1" applyFont="1" applyFill="1" applyBorder="1" applyAlignment="1">
      <alignment horizontal="center" vertical="top"/>
    </xf>
    <xf numFmtId="165" fontId="2" fillId="4" borderId="61" xfId="0" applyNumberFormat="1" applyFont="1" applyFill="1" applyBorder="1" applyAlignment="1">
      <alignment horizontal="center" vertical="top"/>
    </xf>
    <xf numFmtId="165" fontId="2" fillId="4" borderId="78" xfId="0" applyNumberFormat="1" applyFont="1" applyFill="1" applyBorder="1" applyAlignment="1">
      <alignment horizontal="center" vertical="top"/>
    </xf>
    <xf numFmtId="165" fontId="4" fillId="2" borderId="100" xfId="0" applyNumberFormat="1" applyFont="1" applyFill="1" applyBorder="1" applyAlignment="1">
      <alignment horizontal="center" vertical="center" wrapText="1"/>
    </xf>
    <xf numFmtId="165" fontId="4" fillId="2" borderId="101" xfId="0" applyNumberFormat="1" applyFont="1" applyFill="1" applyBorder="1" applyAlignment="1">
      <alignment horizontal="center" vertical="center" wrapText="1"/>
    </xf>
    <xf numFmtId="165" fontId="4" fillId="2" borderId="81" xfId="0" applyNumberFormat="1" applyFont="1" applyFill="1" applyBorder="1" applyAlignment="1">
      <alignment horizontal="center" vertical="center" wrapText="1"/>
    </xf>
    <xf numFmtId="165" fontId="4" fillId="2" borderId="104" xfId="0" applyNumberFormat="1" applyFont="1" applyFill="1" applyBorder="1" applyAlignment="1">
      <alignment horizontal="center" vertical="center" wrapText="1"/>
    </xf>
    <xf numFmtId="1" fontId="2" fillId="2" borderId="63" xfId="0" applyNumberFormat="1" applyFont="1" applyFill="1" applyBorder="1" applyAlignment="1">
      <alignment horizontal="center" vertical="top"/>
    </xf>
    <xf numFmtId="1" fontId="2" fillId="2" borderId="57" xfId="0" applyNumberFormat="1" applyFont="1" applyFill="1" applyBorder="1" applyAlignment="1">
      <alignment horizontal="center" vertical="top"/>
    </xf>
    <xf numFmtId="1" fontId="2" fillId="2" borderId="30" xfId="0" applyNumberFormat="1" applyFont="1" applyFill="1" applyBorder="1" applyAlignment="1">
      <alignment horizontal="center" vertical="top"/>
    </xf>
    <xf numFmtId="165" fontId="4" fillId="2" borderId="49" xfId="0" applyNumberFormat="1" applyFont="1" applyFill="1" applyBorder="1" applyAlignment="1">
      <alignment horizontal="center" vertical="top" wrapText="1"/>
    </xf>
    <xf numFmtId="165" fontId="4" fillId="2" borderId="93" xfId="0" applyNumberFormat="1" applyFont="1" applyFill="1" applyBorder="1" applyAlignment="1">
      <alignment horizontal="center" vertical="top" wrapText="1"/>
    </xf>
    <xf numFmtId="165" fontId="4" fillId="2" borderId="98" xfId="0" applyNumberFormat="1" applyFont="1" applyFill="1" applyBorder="1" applyAlignment="1">
      <alignment horizontal="center" vertical="top" wrapText="1"/>
    </xf>
    <xf numFmtId="165" fontId="2" fillId="3" borderId="69" xfId="0" applyNumberFormat="1" applyFont="1" applyFill="1" applyBorder="1" applyAlignment="1">
      <alignment horizontal="left" vertical="top" wrapText="1"/>
    </xf>
    <xf numFmtId="165" fontId="2" fillId="3" borderId="39" xfId="0" applyNumberFormat="1" applyFont="1" applyFill="1" applyBorder="1" applyAlignment="1">
      <alignment horizontal="left" vertical="top" wrapText="1"/>
    </xf>
    <xf numFmtId="165" fontId="2" fillId="3" borderId="67" xfId="0" applyNumberFormat="1" applyFont="1" applyFill="1" applyBorder="1" applyAlignment="1">
      <alignment horizontal="left" vertical="top" wrapText="1"/>
    </xf>
    <xf numFmtId="0" fontId="2" fillId="3" borderId="40" xfId="0" applyFont="1" applyFill="1" applyBorder="1" applyAlignment="1">
      <alignment horizontal="left" vertical="top" wrapText="1"/>
    </xf>
    <xf numFmtId="0" fontId="4" fillId="3" borderId="0" xfId="0" applyFont="1" applyFill="1" applyBorder="1" applyAlignment="1">
      <alignment horizontal="center" vertical="top"/>
    </xf>
    <xf numFmtId="164" fontId="2" fillId="2" borderId="57" xfId="0" applyNumberFormat="1" applyFont="1" applyFill="1" applyBorder="1" applyAlignment="1">
      <alignment horizontal="center" vertical="top"/>
    </xf>
    <xf numFmtId="164" fontId="2" fillId="2" borderId="30" xfId="0" applyNumberFormat="1" applyFont="1" applyFill="1" applyBorder="1" applyAlignment="1">
      <alignment horizontal="center" vertical="top"/>
    </xf>
    <xf numFmtId="165" fontId="4" fillId="4" borderId="88" xfId="0" applyNumberFormat="1" applyFont="1" applyFill="1" applyBorder="1" applyAlignment="1">
      <alignment horizontal="center" vertical="center" wrapText="1"/>
    </xf>
    <xf numFmtId="165" fontId="4" fillId="4" borderId="89" xfId="0" applyNumberFormat="1" applyFont="1" applyFill="1" applyBorder="1" applyAlignment="1">
      <alignment horizontal="center" vertical="center" wrapText="1"/>
    </xf>
    <xf numFmtId="165" fontId="4" fillId="4" borderId="68" xfId="0" applyNumberFormat="1" applyFont="1" applyFill="1" applyBorder="1" applyAlignment="1">
      <alignment horizontal="center" vertical="center" wrapText="1"/>
    </xf>
    <xf numFmtId="0" fontId="2" fillId="3" borderId="33" xfId="0" applyFont="1" applyFill="1" applyBorder="1" applyAlignment="1">
      <alignment horizontal="left" vertical="top" wrapText="1"/>
    </xf>
    <xf numFmtId="49" fontId="2" fillId="2" borderId="42" xfId="0" applyNumberFormat="1" applyFont="1" applyFill="1" applyBorder="1" applyAlignment="1">
      <alignment horizontal="left" vertical="top" wrapText="1"/>
    </xf>
    <xf numFmtId="1" fontId="4" fillId="2" borderId="91" xfId="0" applyNumberFormat="1" applyFont="1" applyFill="1" applyBorder="1" applyAlignment="1">
      <alignment horizontal="center" vertical="center"/>
    </xf>
    <xf numFmtId="1" fontId="4" fillId="2" borderId="61" xfId="0" applyNumberFormat="1" applyFont="1" applyFill="1" applyBorder="1" applyAlignment="1">
      <alignment horizontal="center" vertical="center"/>
    </xf>
    <xf numFmtId="1" fontId="4" fillId="2" borderId="86" xfId="0" applyNumberFormat="1" applyFont="1" applyFill="1" applyBorder="1" applyAlignment="1">
      <alignment horizontal="center" vertical="center"/>
    </xf>
    <xf numFmtId="1" fontId="2" fillId="2" borderId="44" xfId="0" applyNumberFormat="1" applyFont="1" applyFill="1" applyBorder="1" applyAlignment="1">
      <alignment horizontal="center" vertical="top"/>
    </xf>
    <xf numFmtId="49" fontId="2" fillId="2" borderId="33" xfId="0" applyNumberFormat="1" applyFont="1" applyFill="1" applyBorder="1" applyAlignment="1">
      <alignment horizontal="left" vertical="top" wrapText="1"/>
    </xf>
    <xf numFmtId="165" fontId="5" fillId="2" borderId="36" xfId="0" applyNumberFormat="1" applyFont="1" applyFill="1" applyBorder="1" applyAlignment="1">
      <alignment horizontal="left" vertical="top" wrapText="1"/>
    </xf>
    <xf numFmtId="165" fontId="5" fillId="2" borderId="42" xfId="0" applyNumberFormat="1" applyFont="1" applyFill="1" applyBorder="1" applyAlignment="1">
      <alignment horizontal="left" vertical="top" wrapText="1"/>
    </xf>
    <xf numFmtId="165" fontId="2" fillId="2" borderId="33" xfId="0" applyNumberFormat="1" applyFont="1" applyFill="1" applyBorder="1" applyAlignment="1">
      <alignment horizontal="right" vertical="top" wrapText="1"/>
    </xf>
    <xf numFmtId="165" fontId="4" fillId="2" borderId="109" xfId="0" applyNumberFormat="1" applyFont="1" applyFill="1" applyBorder="1" applyAlignment="1">
      <alignment horizontal="center" vertical="center"/>
    </xf>
    <xf numFmtId="165" fontId="4" fillId="2" borderId="5" xfId="0" applyNumberFormat="1" applyFont="1" applyFill="1" applyBorder="1" applyAlignment="1">
      <alignment horizontal="left" vertical="center" wrapText="1"/>
    </xf>
    <xf numFmtId="165" fontId="4" fillId="2" borderId="0" xfId="0" applyNumberFormat="1" applyFont="1" applyFill="1" applyBorder="1" applyAlignment="1">
      <alignment horizontal="left" vertical="center" wrapText="1"/>
    </xf>
    <xf numFmtId="0" fontId="16" fillId="3" borderId="0" xfId="0" applyFont="1" applyFill="1" applyAlignment="1">
      <alignment horizontal="left" vertical="center"/>
    </xf>
    <xf numFmtId="165" fontId="5" fillId="2" borderId="36" xfId="0" applyNumberFormat="1" applyFont="1" applyFill="1" applyBorder="1" applyAlignment="1">
      <alignment horizontal="right" vertical="top" wrapText="1"/>
    </xf>
    <xf numFmtId="165" fontId="5" fillId="2" borderId="42" xfId="0" applyNumberFormat="1" applyFont="1" applyFill="1" applyBorder="1" applyAlignment="1">
      <alignment horizontal="right" vertical="top" wrapText="1"/>
    </xf>
    <xf numFmtId="165" fontId="2" fillId="2" borderId="32" xfId="0" applyNumberFormat="1" applyFont="1" applyFill="1" applyBorder="1" applyAlignment="1">
      <alignment horizontal="right" vertical="top" wrapText="1"/>
    </xf>
    <xf numFmtId="165" fontId="2" fillId="2" borderId="36"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5" fontId="2" fillId="5" borderId="33" xfId="0" applyNumberFormat="1" applyFont="1" applyFill="1" applyBorder="1" applyAlignment="1">
      <alignment horizontal="left" vertical="top" wrapText="1"/>
    </xf>
    <xf numFmtId="165" fontId="2" fillId="5" borderId="46" xfId="0" applyNumberFormat="1" applyFont="1" applyFill="1" applyBorder="1" applyAlignment="1">
      <alignment vertical="top" wrapText="1"/>
    </xf>
    <xf numFmtId="165" fontId="2" fillId="5" borderId="46" xfId="0" applyNumberFormat="1" applyFont="1" applyFill="1" applyBorder="1" applyAlignment="1">
      <alignment horizontal="left" vertical="top" wrapText="1"/>
    </xf>
    <xf numFmtId="165" fontId="2" fillId="5" borderId="33" xfId="0" applyNumberFormat="1" applyFont="1" applyFill="1" applyBorder="1" applyAlignment="1">
      <alignment vertical="top"/>
    </xf>
    <xf numFmtId="165" fontId="2" fillId="5" borderId="33" xfId="0" applyNumberFormat="1" applyFont="1" applyFill="1" applyBorder="1" applyAlignment="1">
      <alignment horizontal="right" vertical="top" wrapText="1"/>
    </xf>
    <xf numFmtId="0" fontId="2" fillId="6" borderId="34" xfId="0" applyFont="1" applyFill="1" applyBorder="1" applyAlignment="1">
      <alignment horizontal="left" vertical="top" wrapText="1"/>
    </xf>
  </cellXfs>
  <cellStyles count="2">
    <cellStyle name="Звичайний" xfId="0" builtinId="0"/>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7;&#1040;&#1061;&#1054;&#1044;&#104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авень"/>
      <sheetName val="+що не ввійшло+ 2600 ззсо"/>
      <sheetName val="з доплатами"/>
      <sheetName val="сесія вер"/>
      <sheetName val="26.06. +спорт+днз№15"/>
      <sheetName val="наступна сесія"/>
      <sheetName val="березень 2025 (2)"/>
      <sheetName val="січень 2025"/>
      <sheetName val="політехніка"/>
      <sheetName val="+ліцеї+інклюзія"/>
      <sheetName val="2024,2025"/>
      <sheetName val="вересень (2)"/>
      <sheetName val="серпень+УКБ"/>
      <sheetName val="липень"/>
      <sheetName val="червень"/>
    </sheetNames>
    <sheetDataSet>
      <sheetData sheetId="0"/>
      <sheetData sheetId="1"/>
      <sheetData sheetId="2"/>
      <sheetData sheetId="3">
        <row r="346">
          <cell r="J346">
            <v>2795870.9999999995</v>
          </cell>
        </row>
      </sheetData>
      <sheetData sheetId="4">
        <row r="11">
          <cell r="J11">
            <v>1700834</v>
          </cell>
        </row>
        <row r="12">
          <cell r="J12">
            <v>30404.7</v>
          </cell>
        </row>
        <row r="13">
          <cell r="J13">
            <v>18144.599999999999</v>
          </cell>
        </row>
        <row r="14">
          <cell r="J14">
            <v>893</v>
          </cell>
        </row>
        <row r="15">
          <cell r="J15">
            <v>2584</v>
          </cell>
        </row>
        <row r="16">
          <cell r="J16">
            <v>233.90000000000003</v>
          </cell>
        </row>
        <row r="17">
          <cell r="J17">
            <v>215956.5</v>
          </cell>
        </row>
        <row r="18">
          <cell r="J18">
            <v>124858.59999999999</v>
          </cell>
        </row>
        <row r="23">
          <cell r="J23">
            <v>1163</v>
          </cell>
        </row>
        <row r="24">
          <cell r="J24">
            <v>370</v>
          </cell>
        </row>
        <row r="25">
          <cell r="J25">
            <v>914</v>
          </cell>
        </row>
        <row r="26">
          <cell r="J26">
            <v>0</v>
          </cell>
        </row>
        <row r="27">
          <cell r="J27">
            <v>0</v>
          </cell>
        </row>
        <row r="28">
          <cell r="J28">
            <v>100</v>
          </cell>
        </row>
        <row r="29">
          <cell r="J29">
            <v>2096456.3</v>
          </cell>
        </row>
        <row r="31">
          <cell r="J31">
            <v>0</v>
          </cell>
        </row>
        <row r="32">
          <cell r="J32">
            <v>0</v>
          </cell>
        </row>
        <row r="33">
          <cell r="J33">
            <v>0</v>
          </cell>
        </row>
        <row r="34">
          <cell r="J34">
            <v>0</v>
          </cell>
        </row>
        <row r="36">
          <cell r="J36">
            <v>1147.5999999999999</v>
          </cell>
        </row>
        <row r="37">
          <cell r="J37">
            <v>0</v>
          </cell>
        </row>
        <row r="38">
          <cell r="J38">
            <v>0</v>
          </cell>
        </row>
        <row r="39">
          <cell r="J39">
            <v>82932</v>
          </cell>
        </row>
        <row r="40">
          <cell r="J40">
            <v>197.1</v>
          </cell>
        </row>
        <row r="41">
          <cell r="J41">
            <v>1000</v>
          </cell>
        </row>
        <row r="42">
          <cell r="J42">
            <v>0</v>
          </cell>
        </row>
        <row r="43">
          <cell r="J43">
            <v>288</v>
          </cell>
        </row>
        <row r="44">
          <cell r="J44">
            <v>0</v>
          </cell>
        </row>
        <row r="45">
          <cell r="J45">
            <v>1000</v>
          </cell>
        </row>
        <row r="46">
          <cell r="J46">
            <v>976</v>
          </cell>
        </row>
        <row r="47">
          <cell r="J47">
            <v>900</v>
          </cell>
        </row>
        <row r="48">
          <cell r="J48">
            <v>2000</v>
          </cell>
        </row>
        <row r="49">
          <cell r="J49">
            <v>0</v>
          </cell>
        </row>
        <row r="50">
          <cell r="J50">
            <v>280</v>
          </cell>
        </row>
        <row r="51">
          <cell r="J51">
            <v>35.5</v>
          </cell>
        </row>
        <row r="53">
          <cell r="J53">
            <v>1898.4</v>
          </cell>
        </row>
        <row r="54">
          <cell r="J54">
            <v>5000</v>
          </cell>
        </row>
        <row r="55">
          <cell r="J55">
            <v>3000</v>
          </cell>
        </row>
        <row r="56">
          <cell r="J56">
            <v>1000</v>
          </cell>
        </row>
        <row r="57">
          <cell r="J57">
            <v>280.7</v>
          </cell>
        </row>
        <row r="58">
          <cell r="J58">
            <v>945</v>
          </cell>
        </row>
        <row r="60">
          <cell r="J60">
            <v>14405.9</v>
          </cell>
        </row>
        <row r="61">
          <cell r="J61">
            <v>2000</v>
          </cell>
        </row>
        <row r="62">
          <cell r="J62">
            <v>1500</v>
          </cell>
        </row>
        <row r="63">
          <cell r="J63">
            <v>1000</v>
          </cell>
        </row>
        <row r="64">
          <cell r="J64">
            <v>0</v>
          </cell>
        </row>
        <row r="65">
          <cell r="J65">
            <v>0</v>
          </cell>
        </row>
        <row r="66">
          <cell r="J66">
            <v>0</v>
          </cell>
        </row>
        <row r="67">
          <cell r="J67">
            <v>0</v>
          </cell>
        </row>
        <row r="68">
          <cell r="J68">
            <v>0</v>
          </cell>
        </row>
        <row r="72">
          <cell r="J72">
            <v>0</v>
          </cell>
        </row>
        <row r="73">
          <cell r="J73">
            <v>0</v>
          </cell>
        </row>
        <row r="74">
          <cell r="J74">
            <v>345</v>
          </cell>
        </row>
        <row r="75">
          <cell r="J75">
            <v>122131.2</v>
          </cell>
        </row>
        <row r="77">
          <cell r="J77">
            <v>110877.6</v>
          </cell>
        </row>
        <row r="78">
          <cell r="J78">
            <v>8217.5</v>
          </cell>
        </row>
        <row r="79">
          <cell r="J79">
            <v>3000</v>
          </cell>
        </row>
        <row r="80">
          <cell r="J80">
            <v>0</v>
          </cell>
        </row>
        <row r="82">
          <cell r="J82">
            <v>0</v>
          </cell>
        </row>
        <row r="83">
          <cell r="J83">
            <v>0</v>
          </cell>
        </row>
        <row r="84">
          <cell r="J84">
            <v>0</v>
          </cell>
        </row>
        <row r="85">
          <cell r="J85">
            <v>0</v>
          </cell>
        </row>
        <row r="86">
          <cell r="J86">
            <v>0</v>
          </cell>
        </row>
        <row r="87">
          <cell r="J87">
            <v>0</v>
          </cell>
        </row>
        <row r="88">
          <cell r="J88">
            <v>0</v>
          </cell>
        </row>
        <row r="89">
          <cell r="J89">
            <v>0</v>
          </cell>
        </row>
        <row r="90">
          <cell r="J90">
            <v>1000</v>
          </cell>
        </row>
        <row r="91">
          <cell r="J91">
            <v>1800</v>
          </cell>
        </row>
        <row r="92">
          <cell r="J92">
            <v>1400</v>
          </cell>
        </row>
        <row r="93">
          <cell r="J93">
            <v>190</v>
          </cell>
        </row>
        <row r="95">
          <cell r="J95">
            <v>1510.9</v>
          </cell>
        </row>
        <row r="97">
          <cell r="J97">
            <v>5244.3</v>
          </cell>
        </row>
        <row r="98">
          <cell r="J98">
            <v>1556.4</v>
          </cell>
        </row>
        <row r="100">
          <cell r="J100">
            <v>52549.46</v>
          </cell>
        </row>
        <row r="101">
          <cell r="J101">
            <v>14423</v>
          </cell>
        </row>
        <row r="102">
          <cell r="J102">
            <v>1195</v>
          </cell>
        </row>
        <row r="103">
          <cell r="J103">
            <v>14285.9</v>
          </cell>
        </row>
        <row r="104">
          <cell r="J104">
            <v>5555.56</v>
          </cell>
        </row>
        <row r="105">
          <cell r="J105">
            <v>17090</v>
          </cell>
        </row>
        <row r="106">
          <cell r="J106">
            <v>10890</v>
          </cell>
        </row>
        <row r="107">
          <cell r="J107">
            <v>6200</v>
          </cell>
        </row>
        <row r="108">
          <cell r="J108">
            <v>1500</v>
          </cell>
        </row>
        <row r="109">
          <cell r="J109">
            <v>2000</v>
          </cell>
        </row>
        <row r="110">
          <cell r="J110">
            <v>800</v>
          </cell>
        </row>
        <row r="111">
          <cell r="J111">
            <v>355</v>
          </cell>
        </row>
        <row r="113">
          <cell r="J113">
            <v>0</v>
          </cell>
        </row>
        <row r="115">
          <cell r="J115">
            <v>800</v>
          </cell>
        </row>
        <row r="116">
          <cell r="J116">
            <v>2500</v>
          </cell>
        </row>
        <row r="117">
          <cell r="J117">
            <v>3000</v>
          </cell>
        </row>
        <row r="120">
          <cell r="J120">
            <v>12045.8</v>
          </cell>
        </row>
        <row r="121">
          <cell r="J121">
            <v>523.29999999999995</v>
          </cell>
        </row>
        <row r="122">
          <cell r="J122">
            <v>954.6</v>
          </cell>
        </row>
        <row r="123">
          <cell r="J123">
            <v>0</v>
          </cell>
        </row>
        <row r="124">
          <cell r="J124">
            <v>0</v>
          </cell>
        </row>
        <row r="125">
          <cell r="J125">
            <v>0</v>
          </cell>
        </row>
        <row r="126">
          <cell r="J126">
            <v>0</v>
          </cell>
        </row>
        <row r="127">
          <cell r="J127">
            <v>0</v>
          </cell>
        </row>
        <row r="128">
          <cell r="J128">
            <v>0</v>
          </cell>
        </row>
        <row r="129">
          <cell r="J129">
            <v>7588</v>
          </cell>
        </row>
        <row r="130">
          <cell r="J130">
            <v>0</v>
          </cell>
        </row>
        <row r="131">
          <cell r="J131">
            <v>0</v>
          </cell>
        </row>
        <row r="132">
          <cell r="J132">
            <v>0</v>
          </cell>
        </row>
        <row r="133">
          <cell r="J133">
            <v>0</v>
          </cell>
        </row>
        <row r="134">
          <cell r="J134">
            <v>0</v>
          </cell>
        </row>
        <row r="135">
          <cell r="J135">
            <v>60</v>
          </cell>
        </row>
        <row r="136">
          <cell r="J136">
            <v>0</v>
          </cell>
        </row>
        <row r="137">
          <cell r="J137">
            <v>13140.17</v>
          </cell>
        </row>
        <row r="138">
          <cell r="J138">
            <v>232613.03</v>
          </cell>
        </row>
        <row r="140">
          <cell r="J140">
            <v>800</v>
          </cell>
        </row>
        <row r="141">
          <cell r="J141">
            <v>200</v>
          </cell>
        </row>
        <row r="143">
          <cell r="J143">
            <v>850</v>
          </cell>
        </row>
        <row r="144">
          <cell r="J144">
            <v>70</v>
          </cell>
        </row>
        <row r="145">
          <cell r="J145">
            <v>0</v>
          </cell>
        </row>
        <row r="146">
          <cell r="J146">
            <v>0</v>
          </cell>
        </row>
        <row r="147">
          <cell r="J147">
            <v>2197.3000000000002</v>
          </cell>
        </row>
        <row r="148">
          <cell r="J148">
            <v>10</v>
          </cell>
        </row>
        <row r="149">
          <cell r="J149">
            <v>0</v>
          </cell>
        </row>
        <row r="152">
          <cell r="J152">
            <v>23</v>
          </cell>
        </row>
        <row r="153">
          <cell r="J153">
            <v>200</v>
          </cell>
        </row>
        <row r="154">
          <cell r="J154">
            <v>0</v>
          </cell>
        </row>
        <row r="155">
          <cell r="J155">
            <v>22.5</v>
          </cell>
        </row>
        <row r="156">
          <cell r="J156">
            <v>4372.8</v>
          </cell>
        </row>
        <row r="158">
          <cell r="J158">
            <v>189558</v>
          </cell>
        </row>
        <row r="159">
          <cell r="J159">
            <v>20067</v>
          </cell>
        </row>
        <row r="160">
          <cell r="J160">
            <v>22300</v>
          </cell>
        </row>
        <row r="164">
          <cell r="J164">
            <v>0</v>
          </cell>
        </row>
        <row r="165">
          <cell r="J165">
            <v>0</v>
          </cell>
        </row>
        <row r="166">
          <cell r="J166">
            <v>15000</v>
          </cell>
        </row>
        <row r="167">
          <cell r="J167">
            <v>246925</v>
          </cell>
        </row>
        <row r="169">
          <cell r="J169">
            <v>260</v>
          </cell>
        </row>
        <row r="170">
          <cell r="J170">
            <v>730</v>
          </cell>
        </row>
        <row r="171">
          <cell r="J171">
            <v>199</v>
          </cell>
        </row>
        <row r="172">
          <cell r="J172">
            <v>700</v>
          </cell>
        </row>
        <row r="173">
          <cell r="J173">
            <v>95</v>
          </cell>
        </row>
        <row r="174">
          <cell r="J174">
            <v>1984</v>
          </cell>
        </row>
        <row r="176">
          <cell r="J176">
            <v>0</v>
          </cell>
        </row>
        <row r="177">
          <cell r="J177">
            <v>0</v>
          </cell>
        </row>
        <row r="178">
          <cell r="J178">
            <v>0</v>
          </cell>
        </row>
        <row r="179">
          <cell r="J179">
            <v>0</v>
          </cell>
        </row>
        <row r="180">
          <cell r="J180">
            <v>0</v>
          </cell>
        </row>
        <row r="181">
          <cell r="J181">
            <v>0</v>
          </cell>
        </row>
        <row r="182">
          <cell r="J182">
            <v>3017.7</v>
          </cell>
        </row>
        <row r="183">
          <cell r="J183">
            <v>1307.4000000000001</v>
          </cell>
        </row>
        <row r="184">
          <cell r="J184">
            <v>0</v>
          </cell>
        </row>
        <row r="185">
          <cell r="J185">
            <v>0</v>
          </cell>
        </row>
        <row r="186">
          <cell r="J186">
            <v>254.4</v>
          </cell>
        </row>
        <row r="188">
          <cell r="J188">
            <v>0</v>
          </cell>
        </row>
        <row r="189">
          <cell r="J189">
            <v>600</v>
          </cell>
        </row>
        <row r="190">
          <cell r="J190">
            <v>5179.5</v>
          </cell>
        </row>
        <row r="192">
          <cell r="J192">
            <v>99.6</v>
          </cell>
        </row>
        <row r="193">
          <cell r="J193">
            <v>487</v>
          </cell>
        </row>
        <row r="194">
          <cell r="J194">
            <v>95.8</v>
          </cell>
        </row>
        <row r="195">
          <cell r="J195">
            <v>479.4</v>
          </cell>
        </row>
        <row r="196">
          <cell r="J196">
            <v>0</v>
          </cell>
        </row>
        <row r="197">
          <cell r="J197">
            <v>0</v>
          </cell>
        </row>
        <row r="198">
          <cell r="J198">
            <v>1161.8</v>
          </cell>
        </row>
        <row r="200">
          <cell r="J200">
            <v>20</v>
          </cell>
        </row>
        <row r="201">
          <cell r="J201">
            <v>105</v>
          </cell>
        </row>
        <row r="202">
          <cell r="J202">
            <v>60</v>
          </cell>
        </row>
        <row r="203">
          <cell r="J203">
            <v>160</v>
          </cell>
        </row>
        <row r="204">
          <cell r="J204">
            <v>60</v>
          </cell>
        </row>
        <row r="205">
          <cell r="J205">
            <v>60</v>
          </cell>
        </row>
        <row r="206">
          <cell r="J206">
            <v>50</v>
          </cell>
        </row>
        <row r="207">
          <cell r="J207">
            <v>40</v>
          </cell>
        </row>
        <row r="208">
          <cell r="J208">
            <v>20</v>
          </cell>
        </row>
        <row r="209">
          <cell r="J209">
            <v>30</v>
          </cell>
        </row>
        <row r="210">
          <cell r="J210">
            <v>80</v>
          </cell>
        </row>
        <row r="211">
          <cell r="J211">
            <v>60</v>
          </cell>
        </row>
        <row r="212">
          <cell r="J212">
            <v>0</v>
          </cell>
        </row>
        <row r="213">
          <cell r="J213">
            <v>0</v>
          </cell>
        </row>
        <row r="214">
          <cell r="J214">
            <v>0</v>
          </cell>
        </row>
        <row r="215">
          <cell r="J215">
            <v>60</v>
          </cell>
        </row>
        <row r="216">
          <cell r="J216">
            <v>0</v>
          </cell>
        </row>
        <row r="217">
          <cell r="J217">
            <v>0</v>
          </cell>
        </row>
        <row r="218">
          <cell r="J218">
            <v>0</v>
          </cell>
        </row>
        <row r="219">
          <cell r="J219">
            <v>0</v>
          </cell>
        </row>
        <row r="220">
          <cell r="J220">
            <v>0</v>
          </cell>
        </row>
        <row r="221">
          <cell r="J221">
            <v>100</v>
          </cell>
        </row>
        <row r="222">
          <cell r="J222">
            <v>905</v>
          </cell>
        </row>
        <row r="224">
          <cell r="J224">
            <v>100</v>
          </cell>
        </row>
        <row r="225">
          <cell r="J225">
            <v>60</v>
          </cell>
        </row>
        <row r="226">
          <cell r="J226">
            <v>160</v>
          </cell>
        </row>
        <row r="227">
          <cell r="J227">
            <v>100</v>
          </cell>
        </row>
        <row r="228">
          <cell r="J228">
            <v>100</v>
          </cell>
        </row>
        <row r="229">
          <cell r="J229">
            <v>20</v>
          </cell>
        </row>
        <row r="230">
          <cell r="J230">
            <v>15</v>
          </cell>
        </row>
        <row r="231">
          <cell r="J231">
            <v>40</v>
          </cell>
        </row>
        <row r="232">
          <cell r="J232">
            <v>10</v>
          </cell>
        </row>
        <row r="233">
          <cell r="J233">
            <v>60</v>
          </cell>
        </row>
        <row r="234">
          <cell r="J234">
            <v>0</v>
          </cell>
        </row>
        <row r="235">
          <cell r="J235">
            <v>0</v>
          </cell>
        </row>
        <row r="236">
          <cell r="J236">
            <v>0</v>
          </cell>
        </row>
        <row r="237">
          <cell r="J237">
            <v>20</v>
          </cell>
        </row>
        <row r="238">
          <cell r="J238">
            <v>10</v>
          </cell>
        </row>
        <row r="239">
          <cell r="J239">
            <v>0</v>
          </cell>
        </row>
        <row r="240">
          <cell r="J240">
            <v>0</v>
          </cell>
        </row>
        <row r="241">
          <cell r="J241">
            <v>0</v>
          </cell>
        </row>
        <row r="242">
          <cell r="J242">
            <v>80</v>
          </cell>
        </row>
        <row r="243">
          <cell r="J243">
            <v>0</v>
          </cell>
        </row>
        <row r="244">
          <cell r="J244">
            <v>0</v>
          </cell>
        </row>
        <row r="245">
          <cell r="J245">
            <v>40</v>
          </cell>
        </row>
        <row r="246">
          <cell r="J246">
            <v>60</v>
          </cell>
        </row>
        <row r="247">
          <cell r="J247">
            <v>875</v>
          </cell>
        </row>
        <row r="249">
          <cell r="J249">
            <v>2772.3</v>
          </cell>
        </row>
        <row r="250">
          <cell r="J250">
            <v>89</v>
          </cell>
        </row>
        <row r="251">
          <cell r="J251">
            <v>762.3</v>
          </cell>
        </row>
        <row r="252">
          <cell r="J252">
            <v>80.2</v>
          </cell>
        </row>
        <row r="253">
          <cell r="J253">
            <v>30.6</v>
          </cell>
        </row>
        <row r="254">
          <cell r="J254">
            <v>0</v>
          </cell>
        </row>
        <row r="255">
          <cell r="J255">
            <v>3734.4</v>
          </cell>
        </row>
        <row r="257">
          <cell r="J257">
            <v>7324.3</v>
          </cell>
        </row>
        <row r="258">
          <cell r="J258">
            <v>2853.7</v>
          </cell>
        </row>
        <row r="259">
          <cell r="J259">
            <v>4370.6000000000004</v>
          </cell>
        </row>
        <row r="260">
          <cell r="J260">
            <v>100</v>
          </cell>
        </row>
        <row r="261">
          <cell r="J261">
            <v>0</v>
          </cell>
        </row>
        <row r="262">
          <cell r="J262">
            <v>1375.5</v>
          </cell>
        </row>
        <row r="263">
          <cell r="J263">
            <v>173.5</v>
          </cell>
        </row>
        <row r="264">
          <cell r="J264">
            <v>1202</v>
          </cell>
        </row>
        <row r="265">
          <cell r="J265">
            <v>2589.8000000000002</v>
          </cell>
        </row>
        <row r="266">
          <cell r="J266">
            <v>1022.9</v>
          </cell>
        </row>
        <row r="267">
          <cell r="J267">
            <v>1396.9</v>
          </cell>
        </row>
        <row r="268">
          <cell r="J268">
            <v>170</v>
          </cell>
        </row>
        <row r="269">
          <cell r="J269">
            <v>1036</v>
          </cell>
        </row>
        <row r="270">
          <cell r="J270">
            <v>297</v>
          </cell>
        </row>
        <row r="271">
          <cell r="J271">
            <v>709</v>
          </cell>
        </row>
        <row r="272">
          <cell r="J272">
            <v>30</v>
          </cell>
        </row>
        <row r="273">
          <cell r="J273">
            <v>438.9</v>
          </cell>
        </row>
        <row r="274">
          <cell r="J274">
            <v>59.5</v>
          </cell>
        </row>
        <row r="275">
          <cell r="J275">
            <v>371.4</v>
          </cell>
        </row>
        <row r="276">
          <cell r="J276">
            <v>8</v>
          </cell>
        </row>
        <row r="277">
          <cell r="J277">
            <v>1168.4000000000001</v>
          </cell>
        </row>
        <row r="278">
          <cell r="J278">
            <v>371</v>
          </cell>
        </row>
        <row r="279">
          <cell r="J279">
            <v>726.4</v>
          </cell>
        </row>
        <row r="280">
          <cell r="J280">
            <v>71</v>
          </cell>
        </row>
        <row r="281">
          <cell r="J281">
            <v>148</v>
          </cell>
        </row>
        <row r="282">
          <cell r="J282">
            <v>43</v>
          </cell>
        </row>
        <row r="283">
          <cell r="J283">
            <v>92</v>
          </cell>
        </row>
        <row r="284">
          <cell r="J284">
            <v>8</v>
          </cell>
        </row>
        <row r="285">
          <cell r="J285">
            <v>5</v>
          </cell>
        </row>
        <row r="286">
          <cell r="J286">
            <v>14080.899999999998</v>
          </cell>
        </row>
        <row r="288">
          <cell r="J288">
            <v>1957</v>
          </cell>
        </row>
        <row r="289">
          <cell r="J289">
            <v>1025</v>
          </cell>
        </row>
        <row r="290">
          <cell r="J290">
            <v>918.4</v>
          </cell>
        </row>
        <row r="291">
          <cell r="J291">
            <v>13.6</v>
          </cell>
        </row>
        <row r="292">
          <cell r="J292">
            <v>56.3</v>
          </cell>
        </row>
        <row r="293">
          <cell r="J293">
            <v>23</v>
          </cell>
        </row>
        <row r="294">
          <cell r="J294">
            <v>25.3</v>
          </cell>
        </row>
        <row r="295">
          <cell r="J295">
            <v>8</v>
          </cell>
        </row>
        <row r="296">
          <cell r="J296">
            <v>80</v>
          </cell>
        </row>
        <row r="297">
          <cell r="J297">
            <v>17.5</v>
          </cell>
        </row>
        <row r="298">
          <cell r="J298">
            <v>55.1</v>
          </cell>
        </row>
        <row r="299">
          <cell r="J299">
            <v>7.4</v>
          </cell>
        </row>
        <row r="300">
          <cell r="J300">
            <v>657.7</v>
          </cell>
        </row>
        <row r="301">
          <cell r="J301">
            <v>241</v>
          </cell>
        </row>
        <row r="302">
          <cell r="J302">
            <v>410.2</v>
          </cell>
        </row>
        <row r="303">
          <cell r="J303">
            <v>6.5</v>
          </cell>
        </row>
        <row r="304">
          <cell r="J304">
            <v>210</v>
          </cell>
        </row>
        <row r="305">
          <cell r="J305">
            <v>80</v>
          </cell>
        </row>
        <row r="306">
          <cell r="J306">
            <v>130</v>
          </cell>
        </row>
        <row r="307">
          <cell r="J307">
            <v>1800</v>
          </cell>
        </row>
        <row r="308">
          <cell r="J308">
            <v>4997.5</v>
          </cell>
        </row>
        <row r="309">
          <cell r="J309">
            <v>2000</v>
          </cell>
        </row>
        <row r="310">
          <cell r="J310">
            <v>2000</v>
          </cell>
        </row>
        <row r="311">
          <cell r="J311">
            <v>997.5</v>
          </cell>
        </row>
        <row r="312">
          <cell r="J312">
            <v>9758.5</v>
          </cell>
        </row>
        <row r="314">
          <cell r="J314">
            <v>0</v>
          </cell>
        </row>
        <row r="315">
          <cell r="J315">
            <v>0</v>
          </cell>
        </row>
        <row r="316">
          <cell r="J316">
            <v>0</v>
          </cell>
        </row>
        <row r="317">
          <cell r="J317">
            <v>0</v>
          </cell>
        </row>
        <row r="318">
          <cell r="J318">
            <v>0</v>
          </cell>
        </row>
        <row r="319">
          <cell r="J319">
            <v>0</v>
          </cell>
        </row>
        <row r="320">
          <cell r="J320">
            <v>0</v>
          </cell>
        </row>
        <row r="321">
          <cell r="J321">
            <v>0</v>
          </cell>
        </row>
        <row r="322">
          <cell r="J322">
            <v>0</v>
          </cell>
        </row>
        <row r="323">
          <cell r="J323">
            <v>0</v>
          </cell>
        </row>
        <row r="324">
          <cell r="J324">
            <v>0</v>
          </cell>
        </row>
        <row r="326">
          <cell r="J326">
            <v>0</v>
          </cell>
        </row>
        <row r="327">
          <cell r="J327">
            <v>0</v>
          </cell>
        </row>
        <row r="345">
          <cell r="J345">
            <v>27947.93</v>
          </cell>
        </row>
      </sheetData>
      <sheetData sheetId="5"/>
      <sheetData sheetId="6"/>
      <sheetData sheetId="7">
        <row r="26">
          <cell r="J26">
            <v>2092745.4000000001</v>
          </cell>
        </row>
      </sheetData>
      <sheetData sheetId="8"/>
      <sheetData sheetId="9"/>
      <sheetData sheetId="10"/>
      <sheetData sheetId="11">
        <row r="11">
          <cell r="J11">
            <v>1700834</v>
          </cell>
          <cell r="K11">
            <v>1870917</v>
          </cell>
        </row>
        <row r="12">
          <cell r="J12">
            <v>197125</v>
          </cell>
          <cell r="K12">
            <v>216838</v>
          </cell>
        </row>
        <row r="13">
          <cell r="J13">
            <v>121197.9</v>
          </cell>
          <cell r="K13">
            <v>133317.70000000001</v>
          </cell>
        </row>
        <row r="18">
          <cell r="J18">
            <v>1163</v>
          </cell>
          <cell r="K18">
            <v>1279</v>
          </cell>
        </row>
        <row r="19">
          <cell r="J19">
            <v>370</v>
          </cell>
          <cell r="K19">
            <v>370</v>
          </cell>
        </row>
        <row r="20">
          <cell r="J20">
            <v>914</v>
          </cell>
          <cell r="K20">
            <v>1005</v>
          </cell>
        </row>
        <row r="21">
          <cell r="J21">
            <v>0</v>
          </cell>
          <cell r="K21">
            <v>0</v>
          </cell>
        </row>
        <row r="22">
          <cell r="J22">
            <v>0</v>
          </cell>
          <cell r="K22">
            <v>0</v>
          </cell>
        </row>
        <row r="23">
          <cell r="K23">
            <v>2223726.7000000002</v>
          </cell>
        </row>
        <row r="25">
          <cell r="J25">
            <v>0</v>
          </cell>
          <cell r="K25">
            <v>0</v>
          </cell>
        </row>
        <row r="26">
          <cell r="J26">
            <v>0</v>
          </cell>
          <cell r="K26">
            <v>0</v>
          </cell>
        </row>
        <row r="27">
          <cell r="J27">
            <v>0</v>
          </cell>
          <cell r="K27">
            <v>0</v>
          </cell>
        </row>
        <row r="28">
          <cell r="J28">
            <v>0</v>
          </cell>
          <cell r="K28">
            <v>0</v>
          </cell>
        </row>
        <row r="30">
          <cell r="J30">
            <v>0</v>
          </cell>
          <cell r="K30">
            <v>0</v>
          </cell>
        </row>
        <row r="31">
          <cell r="J31">
            <v>0</v>
          </cell>
          <cell r="K31">
            <v>0</v>
          </cell>
        </row>
        <row r="32">
          <cell r="J32">
            <v>0</v>
          </cell>
          <cell r="K32">
            <v>0</v>
          </cell>
        </row>
        <row r="33">
          <cell r="J33">
            <v>82932</v>
          </cell>
          <cell r="K33">
            <v>91225</v>
          </cell>
        </row>
        <row r="34">
          <cell r="J34">
            <v>0</v>
          </cell>
          <cell r="K34">
            <v>0</v>
          </cell>
        </row>
        <row r="35">
          <cell r="J35">
            <v>1000</v>
          </cell>
          <cell r="K35">
            <v>1000</v>
          </cell>
        </row>
        <row r="36">
          <cell r="J36">
            <v>0</v>
          </cell>
          <cell r="K36">
            <v>0</v>
          </cell>
        </row>
        <row r="37">
          <cell r="J37">
            <v>0</v>
          </cell>
          <cell r="K37">
            <v>0</v>
          </cell>
        </row>
        <row r="38">
          <cell r="J38">
            <v>0</v>
          </cell>
          <cell r="K38">
            <v>0</v>
          </cell>
        </row>
        <row r="39">
          <cell r="J39">
            <v>1000</v>
          </cell>
          <cell r="K39">
            <v>1000</v>
          </cell>
        </row>
        <row r="40">
          <cell r="J40">
            <v>976</v>
          </cell>
          <cell r="K40">
            <v>976</v>
          </cell>
        </row>
        <row r="41">
          <cell r="J41">
            <v>900</v>
          </cell>
          <cell r="K41">
            <v>900</v>
          </cell>
        </row>
        <row r="42">
          <cell r="J42">
            <v>2000</v>
          </cell>
          <cell r="K42">
            <v>1800</v>
          </cell>
        </row>
        <row r="43">
          <cell r="J43">
            <v>0</v>
          </cell>
          <cell r="K43">
            <v>0</v>
          </cell>
        </row>
        <row r="44">
          <cell r="J44">
            <v>280</v>
          </cell>
          <cell r="K44">
            <v>280</v>
          </cell>
        </row>
        <row r="47">
          <cell r="J47">
            <v>960</v>
          </cell>
          <cell r="K47">
            <v>960</v>
          </cell>
        </row>
        <row r="48">
          <cell r="J48">
            <v>5000</v>
          </cell>
          <cell r="K48">
            <v>6000</v>
          </cell>
        </row>
        <row r="49">
          <cell r="J49">
            <v>3000</v>
          </cell>
          <cell r="K49">
            <v>2000</v>
          </cell>
        </row>
        <row r="50">
          <cell r="J50">
            <v>1000</v>
          </cell>
          <cell r="K50">
            <v>1000</v>
          </cell>
        </row>
        <row r="51">
          <cell r="J51">
            <v>165</v>
          </cell>
          <cell r="K51">
            <v>180</v>
          </cell>
        </row>
        <row r="52">
          <cell r="J52">
            <v>330.3</v>
          </cell>
          <cell r="K52">
            <v>330.3</v>
          </cell>
        </row>
        <row r="54">
          <cell r="J54">
            <v>2000</v>
          </cell>
          <cell r="K54">
            <v>1500</v>
          </cell>
        </row>
        <row r="55">
          <cell r="J55">
            <v>1500</v>
          </cell>
          <cell r="K55">
            <v>1500</v>
          </cell>
        </row>
        <row r="56">
          <cell r="J56">
            <v>1000</v>
          </cell>
          <cell r="K56">
            <v>1000</v>
          </cell>
        </row>
        <row r="57">
          <cell r="J57">
            <v>0</v>
          </cell>
          <cell r="K57">
            <v>0</v>
          </cell>
        </row>
        <row r="58">
          <cell r="J58">
            <v>0</v>
          </cell>
          <cell r="K58">
            <v>0</v>
          </cell>
        </row>
        <row r="59">
          <cell r="J59">
            <v>0</v>
          </cell>
          <cell r="K59">
            <v>0</v>
          </cell>
        </row>
        <row r="60">
          <cell r="J60">
            <v>0</v>
          </cell>
          <cell r="K60">
            <v>0</v>
          </cell>
        </row>
        <row r="61">
          <cell r="J61">
            <v>0</v>
          </cell>
          <cell r="K61">
            <v>0</v>
          </cell>
        </row>
        <row r="65">
          <cell r="J65">
            <v>0</v>
          </cell>
          <cell r="K65">
            <v>0</v>
          </cell>
        </row>
        <row r="66">
          <cell r="J66">
            <v>0</v>
          </cell>
          <cell r="K66">
            <v>0</v>
          </cell>
        </row>
        <row r="68">
          <cell r="K68">
            <v>111651.3</v>
          </cell>
        </row>
        <row r="70">
          <cell r="J70">
            <v>99238</v>
          </cell>
          <cell r="K70">
            <v>109162</v>
          </cell>
        </row>
        <row r="71">
          <cell r="J71">
            <v>3203</v>
          </cell>
          <cell r="K71">
            <v>3523</v>
          </cell>
        </row>
        <row r="72">
          <cell r="J72">
            <v>3000</v>
          </cell>
          <cell r="K72">
            <v>3000</v>
          </cell>
        </row>
        <row r="73">
          <cell r="J73">
            <v>0</v>
          </cell>
          <cell r="K73">
            <v>0</v>
          </cell>
        </row>
        <row r="75">
          <cell r="J75">
            <v>0</v>
          </cell>
          <cell r="K75">
            <v>0</v>
          </cell>
        </row>
        <row r="76">
          <cell r="J76">
            <v>0</v>
          </cell>
          <cell r="K76">
            <v>0</v>
          </cell>
        </row>
        <row r="77">
          <cell r="J77">
            <v>0</v>
          </cell>
          <cell r="K77">
            <v>0</v>
          </cell>
        </row>
        <row r="78">
          <cell r="J78">
            <v>0</v>
          </cell>
          <cell r="K78">
            <v>0</v>
          </cell>
        </row>
        <row r="79">
          <cell r="J79">
            <v>0</v>
          </cell>
          <cell r="K79">
            <v>0</v>
          </cell>
        </row>
        <row r="80">
          <cell r="J80">
            <v>0</v>
          </cell>
          <cell r="K80">
            <v>0</v>
          </cell>
        </row>
        <row r="81">
          <cell r="J81">
            <v>0</v>
          </cell>
          <cell r="K81">
            <v>0</v>
          </cell>
        </row>
        <row r="82">
          <cell r="J82">
            <v>0</v>
          </cell>
          <cell r="K82">
            <v>0</v>
          </cell>
        </row>
        <row r="83">
          <cell r="J83">
            <v>1000</v>
          </cell>
          <cell r="K83">
            <v>1000</v>
          </cell>
        </row>
        <row r="84">
          <cell r="J84">
            <v>1800</v>
          </cell>
          <cell r="K84">
            <v>1800</v>
          </cell>
        </row>
        <row r="85">
          <cell r="J85">
            <v>1400</v>
          </cell>
          <cell r="K85">
            <v>1400</v>
          </cell>
        </row>
        <row r="86">
          <cell r="J86">
            <v>190</v>
          </cell>
          <cell r="K86">
            <v>190</v>
          </cell>
        </row>
        <row r="90">
          <cell r="J90">
            <v>5244.3</v>
          </cell>
          <cell r="K90">
            <v>5244.3</v>
          </cell>
        </row>
        <row r="91">
          <cell r="J91">
            <v>1556.4</v>
          </cell>
          <cell r="K91">
            <v>1556.4</v>
          </cell>
        </row>
        <row r="94">
          <cell r="J94">
            <v>1500</v>
          </cell>
          <cell r="K94">
            <v>1500</v>
          </cell>
        </row>
        <row r="95">
          <cell r="J95">
            <v>2000</v>
          </cell>
          <cell r="K95">
            <v>2000</v>
          </cell>
        </row>
        <row r="96">
          <cell r="J96">
            <v>800</v>
          </cell>
          <cell r="K96">
            <v>800</v>
          </cell>
        </row>
        <row r="97">
          <cell r="J97">
            <v>355</v>
          </cell>
          <cell r="K97">
            <v>370</v>
          </cell>
        </row>
        <row r="99">
          <cell r="J99">
            <v>0</v>
          </cell>
          <cell r="K99">
            <v>0</v>
          </cell>
        </row>
        <row r="101">
          <cell r="J101">
            <v>800</v>
          </cell>
          <cell r="K101">
            <v>800</v>
          </cell>
        </row>
        <row r="104">
          <cell r="J104">
            <v>12045.8</v>
          </cell>
          <cell r="K104">
            <v>13250.4</v>
          </cell>
        </row>
        <row r="105">
          <cell r="J105">
            <v>0</v>
          </cell>
          <cell r="K105">
            <v>0</v>
          </cell>
        </row>
        <row r="106">
          <cell r="J106">
            <v>0</v>
          </cell>
          <cell r="K106">
            <v>0</v>
          </cell>
        </row>
        <row r="107">
          <cell r="J107">
            <v>0</v>
          </cell>
          <cell r="K107">
            <v>0</v>
          </cell>
        </row>
        <row r="108">
          <cell r="J108">
            <v>0</v>
          </cell>
          <cell r="K108">
            <v>0</v>
          </cell>
        </row>
        <row r="109">
          <cell r="J109">
            <v>0</v>
          </cell>
          <cell r="K109">
            <v>0</v>
          </cell>
        </row>
        <row r="110">
          <cell r="J110">
            <v>0</v>
          </cell>
          <cell r="K110">
            <v>0</v>
          </cell>
        </row>
        <row r="111">
          <cell r="J111">
            <v>0</v>
          </cell>
          <cell r="K111">
            <v>0</v>
          </cell>
        </row>
        <row r="112">
          <cell r="J112">
            <v>0</v>
          </cell>
          <cell r="K112">
            <v>0</v>
          </cell>
        </row>
        <row r="113">
          <cell r="J113">
            <v>0</v>
          </cell>
          <cell r="K113">
            <v>0</v>
          </cell>
        </row>
        <row r="114">
          <cell r="J114">
            <v>0</v>
          </cell>
          <cell r="K114">
            <v>0</v>
          </cell>
        </row>
        <row r="115">
          <cell r="J115">
            <v>0</v>
          </cell>
          <cell r="K115">
            <v>0</v>
          </cell>
        </row>
        <row r="116">
          <cell r="J116">
            <v>0</v>
          </cell>
          <cell r="K116">
            <v>0</v>
          </cell>
        </row>
        <row r="118">
          <cell r="J118">
            <v>0</v>
          </cell>
          <cell r="K118">
            <v>0</v>
          </cell>
        </row>
        <row r="119">
          <cell r="K119">
            <v>145596.1</v>
          </cell>
        </row>
        <row r="121">
          <cell r="J121">
            <v>800</v>
          </cell>
          <cell r="K121">
            <v>800</v>
          </cell>
        </row>
        <row r="122">
          <cell r="J122">
            <v>200</v>
          </cell>
          <cell r="K122">
            <v>200</v>
          </cell>
        </row>
        <row r="124">
          <cell r="J124">
            <v>850</v>
          </cell>
          <cell r="K124">
            <v>850</v>
          </cell>
        </row>
        <row r="125">
          <cell r="J125">
            <v>70</v>
          </cell>
          <cell r="K125">
            <v>70</v>
          </cell>
        </row>
        <row r="126">
          <cell r="J126">
            <v>0</v>
          </cell>
          <cell r="K126">
            <v>0</v>
          </cell>
        </row>
        <row r="127">
          <cell r="J127">
            <v>0</v>
          </cell>
          <cell r="K127">
            <v>0</v>
          </cell>
        </row>
        <row r="128">
          <cell r="J128">
            <v>900</v>
          </cell>
          <cell r="K128">
            <v>900</v>
          </cell>
        </row>
        <row r="129">
          <cell r="J129">
            <v>10</v>
          </cell>
          <cell r="K129">
            <v>10</v>
          </cell>
        </row>
        <row r="130">
          <cell r="J130">
            <v>0</v>
          </cell>
          <cell r="K130">
            <v>0</v>
          </cell>
        </row>
        <row r="133">
          <cell r="J133">
            <v>23</v>
          </cell>
          <cell r="K133">
            <v>24</v>
          </cell>
        </row>
        <row r="134">
          <cell r="J134">
            <v>200</v>
          </cell>
          <cell r="K134">
            <v>200</v>
          </cell>
        </row>
        <row r="135">
          <cell r="J135">
            <v>0</v>
          </cell>
          <cell r="K135">
            <v>0</v>
          </cell>
        </row>
        <row r="137">
          <cell r="K137">
            <v>3054</v>
          </cell>
        </row>
        <row r="139">
          <cell r="J139">
            <v>189558</v>
          </cell>
          <cell r="K139">
            <v>208514</v>
          </cell>
        </row>
        <row r="140">
          <cell r="J140">
            <v>20067</v>
          </cell>
          <cell r="K140">
            <v>22074</v>
          </cell>
        </row>
        <row r="146">
          <cell r="J146">
            <v>0</v>
          </cell>
          <cell r="K146">
            <v>0</v>
          </cell>
        </row>
        <row r="147">
          <cell r="J147">
            <v>0</v>
          </cell>
          <cell r="K147">
            <v>0</v>
          </cell>
        </row>
        <row r="148">
          <cell r="J148">
            <v>209625</v>
          </cell>
          <cell r="K148">
            <v>230588</v>
          </cell>
        </row>
        <row r="150">
          <cell r="J150">
            <v>260</v>
          </cell>
          <cell r="K150">
            <v>280</v>
          </cell>
        </row>
        <row r="151">
          <cell r="J151">
            <v>730</v>
          </cell>
          <cell r="K151">
            <v>740</v>
          </cell>
        </row>
        <row r="152">
          <cell r="J152">
            <v>199</v>
          </cell>
          <cell r="K152">
            <v>199</v>
          </cell>
        </row>
        <row r="153">
          <cell r="J153">
            <v>700</v>
          </cell>
          <cell r="K153">
            <v>700</v>
          </cell>
        </row>
        <row r="154">
          <cell r="J154">
            <v>95</v>
          </cell>
          <cell r="K154">
            <v>100</v>
          </cell>
        </row>
        <row r="155">
          <cell r="J155">
            <v>1984</v>
          </cell>
          <cell r="K155">
            <v>2019</v>
          </cell>
        </row>
        <row r="157">
          <cell r="J157">
            <v>0</v>
          </cell>
          <cell r="K157">
            <v>0</v>
          </cell>
        </row>
        <row r="158">
          <cell r="J158">
            <v>0</v>
          </cell>
          <cell r="K158">
            <v>0</v>
          </cell>
        </row>
        <row r="159">
          <cell r="J159">
            <v>0</v>
          </cell>
          <cell r="K159">
            <v>0</v>
          </cell>
        </row>
        <row r="160">
          <cell r="J160">
            <v>0</v>
          </cell>
          <cell r="K160">
            <v>0</v>
          </cell>
        </row>
        <row r="161">
          <cell r="J161">
            <v>0</v>
          </cell>
          <cell r="K161">
            <v>0</v>
          </cell>
        </row>
        <row r="162">
          <cell r="J162">
            <v>0</v>
          </cell>
          <cell r="K162">
            <v>0</v>
          </cell>
        </row>
        <row r="165">
          <cell r="J165">
            <v>0</v>
          </cell>
          <cell r="K165">
            <v>0</v>
          </cell>
        </row>
        <row r="166">
          <cell r="J166">
            <v>0</v>
          </cell>
          <cell r="K166">
            <v>0</v>
          </cell>
        </row>
        <row r="167">
          <cell r="J167">
            <v>0</v>
          </cell>
          <cell r="K167">
            <v>0</v>
          </cell>
        </row>
        <row r="169">
          <cell r="J169">
            <v>0</v>
          </cell>
          <cell r="K169">
            <v>0</v>
          </cell>
        </row>
        <row r="170">
          <cell r="J170">
            <v>600</v>
          </cell>
          <cell r="K170">
            <v>800</v>
          </cell>
        </row>
        <row r="171">
          <cell r="J171">
            <v>600</v>
          </cell>
          <cell r="K171">
            <v>800</v>
          </cell>
        </row>
        <row r="173">
          <cell r="J173">
            <v>72.400000000000006</v>
          </cell>
          <cell r="K173">
            <v>72.400000000000006</v>
          </cell>
        </row>
        <row r="174">
          <cell r="J174">
            <v>487</v>
          </cell>
          <cell r="K174">
            <v>536</v>
          </cell>
        </row>
        <row r="175">
          <cell r="J175">
            <v>56</v>
          </cell>
          <cell r="K175">
            <v>62</v>
          </cell>
        </row>
        <row r="176">
          <cell r="J176">
            <v>38.9</v>
          </cell>
          <cell r="K176">
            <v>42</v>
          </cell>
        </row>
        <row r="177">
          <cell r="J177">
            <v>0</v>
          </cell>
          <cell r="K177">
            <v>0</v>
          </cell>
        </row>
        <row r="178">
          <cell r="J178">
            <v>0</v>
          </cell>
          <cell r="K178">
            <v>0</v>
          </cell>
        </row>
        <row r="179">
          <cell r="K179">
            <v>712.4</v>
          </cell>
        </row>
        <row r="181">
          <cell r="J181">
            <v>20</v>
          </cell>
          <cell r="K181">
            <v>20</v>
          </cell>
        </row>
        <row r="182">
          <cell r="J182">
            <v>105</v>
          </cell>
          <cell r="K182">
            <v>105</v>
          </cell>
        </row>
        <row r="183">
          <cell r="J183">
            <v>50</v>
          </cell>
          <cell r="K183">
            <v>50</v>
          </cell>
        </row>
        <row r="184">
          <cell r="J184">
            <v>160</v>
          </cell>
          <cell r="K184">
            <v>160</v>
          </cell>
        </row>
        <row r="185">
          <cell r="J185">
            <v>45</v>
          </cell>
          <cell r="K185">
            <v>45</v>
          </cell>
        </row>
        <row r="186">
          <cell r="J186">
            <v>45</v>
          </cell>
          <cell r="K186">
            <v>50</v>
          </cell>
        </row>
        <row r="187">
          <cell r="J187">
            <v>50</v>
          </cell>
          <cell r="K187">
            <v>50</v>
          </cell>
        </row>
        <row r="188">
          <cell r="J188">
            <v>40</v>
          </cell>
          <cell r="K188">
            <v>40</v>
          </cell>
        </row>
        <row r="189">
          <cell r="J189">
            <v>10</v>
          </cell>
          <cell r="K189">
            <v>10</v>
          </cell>
        </row>
        <row r="190">
          <cell r="J190">
            <v>30</v>
          </cell>
          <cell r="K190">
            <v>30</v>
          </cell>
        </row>
        <row r="191">
          <cell r="J191">
            <v>70</v>
          </cell>
          <cell r="K191">
            <v>80</v>
          </cell>
        </row>
        <row r="192">
          <cell r="J192">
            <v>40</v>
          </cell>
          <cell r="K192">
            <v>40</v>
          </cell>
        </row>
        <row r="193">
          <cell r="J193">
            <v>0</v>
          </cell>
          <cell r="K193">
            <v>0</v>
          </cell>
        </row>
        <row r="194">
          <cell r="J194">
            <v>0</v>
          </cell>
          <cell r="K194">
            <v>0</v>
          </cell>
        </row>
        <row r="195">
          <cell r="J195">
            <v>0</v>
          </cell>
          <cell r="K195">
            <v>0</v>
          </cell>
        </row>
        <row r="196">
          <cell r="J196">
            <v>30</v>
          </cell>
          <cell r="K196">
            <v>30</v>
          </cell>
        </row>
        <row r="197">
          <cell r="J197">
            <v>0</v>
          </cell>
          <cell r="K197">
            <v>0</v>
          </cell>
        </row>
        <row r="198">
          <cell r="J198">
            <v>0</v>
          </cell>
          <cell r="K198">
            <v>0</v>
          </cell>
        </row>
        <row r="199">
          <cell r="J199">
            <v>0</v>
          </cell>
          <cell r="K199">
            <v>0</v>
          </cell>
        </row>
        <row r="200">
          <cell r="J200">
            <v>0</v>
          </cell>
          <cell r="K200">
            <v>0</v>
          </cell>
        </row>
        <row r="201">
          <cell r="J201">
            <v>0</v>
          </cell>
          <cell r="K201">
            <v>0</v>
          </cell>
        </row>
        <row r="204">
          <cell r="J204">
            <v>100</v>
          </cell>
          <cell r="K204">
            <v>100</v>
          </cell>
        </row>
        <row r="205">
          <cell r="J205">
            <v>40</v>
          </cell>
          <cell r="K205">
            <v>40</v>
          </cell>
        </row>
        <row r="206">
          <cell r="J206">
            <v>120</v>
          </cell>
          <cell r="K206">
            <v>120</v>
          </cell>
        </row>
        <row r="207">
          <cell r="J207">
            <v>40</v>
          </cell>
          <cell r="K207">
            <v>40</v>
          </cell>
        </row>
        <row r="208">
          <cell r="J208">
            <v>70</v>
          </cell>
          <cell r="K208">
            <v>70</v>
          </cell>
        </row>
        <row r="209">
          <cell r="J209">
            <v>15</v>
          </cell>
          <cell r="K209">
            <v>15</v>
          </cell>
        </row>
        <row r="210">
          <cell r="J210">
            <v>15</v>
          </cell>
          <cell r="K210">
            <v>15</v>
          </cell>
        </row>
        <row r="211">
          <cell r="J211">
            <v>10</v>
          </cell>
          <cell r="K211">
            <v>10</v>
          </cell>
        </row>
        <row r="212">
          <cell r="J212">
            <v>6</v>
          </cell>
          <cell r="K212">
            <v>6</v>
          </cell>
        </row>
        <row r="213">
          <cell r="J213">
            <v>0</v>
          </cell>
          <cell r="K213">
            <v>0</v>
          </cell>
        </row>
        <row r="214">
          <cell r="J214">
            <v>0</v>
          </cell>
          <cell r="K214">
            <v>0</v>
          </cell>
        </row>
        <row r="215">
          <cell r="J215">
            <v>0</v>
          </cell>
          <cell r="K215">
            <v>0</v>
          </cell>
        </row>
        <row r="216">
          <cell r="J216">
            <v>8</v>
          </cell>
          <cell r="K216">
            <v>8</v>
          </cell>
        </row>
        <row r="217">
          <cell r="J217">
            <v>8</v>
          </cell>
          <cell r="K217">
            <v>8</v>
          </cell>
        </row>
        <row r="218">
          <cell r="J218">
            <v>0</v>
          </cell>
          <cell r="K218">
            <v>0</v>
          </cell>
        </row>
        <row r="219">
          <cell r="J219">
            <v>0</v>
          </cell>
          <cell r="K219">
            <v>0</v>
          </cell>
        </row>
        <row r="220">
          <cell r="J220">
            <v>0</v>
          </cell>
          <cell r="K220">
            <v>0</v>
          </cell>
        </row>
        <row r="221">
          <cell r="J221">
            <v>70</v>
          </cell>
          <cell r="K221">
            <v>70</v>
          </cell>
        </row>
        <row r="222">
          <cell r="J222">
            <v>0</v>
          </cell>
          <cell r="K222">
            <v>0</v>
          </cell>
        </row>
        <row r="223">
          <cell r="J223">
            <v>0</v>
          </cell>
          <cell r="K223">
            <v>0</v>
          </cell>
        </row>
        <row r="224">
          <cell r="J224">
            <v>20</v>
          </cell>
          <cell r="K224">
            <v>20</v>
          </cell>
        </row>
        <row r="225">
          <cell r="J225">
            <v>30</v>
          </cell>
          <cell r="K225">
            <v>30</v>
          </cell>
        </row>
        <row r="228">
          <cell r="J228">
            <v>2772.3</v>
          </cell>
        </row>
        <row r="229">
          <cell r="J229">
            <v>57.9</v>
          </cell>
        </row>
        <row r="230">
          <cell r="J230">
            <v>762.3</v>
          </cell>
          <cell r="K230">
            <v>804.2</v>
          </cell>
        </row>
        <row r="231">
          <cell r="J231">
            <v>80.2</v>
          </cell>
          <cell r="K231">
            <v>84.6</v>
          </cell>
        </row>
        <row r="232">
          <cell r="J232">
            <v>30.6</v>
          </cell>
          <cell r="K232">
            <v>32.299999999999997</v>
          </cell>
        </row>
        <row r="233">
          <cell r="J233">
            <v>0</v>
          </cell>
          <cell r="K233">
            <v>0</v>
          </cell>
        </row>
        <row r="234">
          <cell r="K234">
            <v>3907.0000000000005</v>
          </cell>
        </row>
        <row r="236">
          <cell r="J236">
            <v>5050</v>
          </cell>
          <cell r="K236">
            <v>4300</v>
          </cell>
        </row>
        <row r="237">
          <cell r="K237">
            <v>1750</v>
          </cell>
        </row>
        <row r="238">
          <cell r="K238">
            <v>2050</v>
          </cell>
        </row>
        <row r="239">
          <cell r="J239">
            <v>100</v>
          </cell>
          <cell r="K239">
            <v>0</v>
          </cell>
        </row>
        <row r="240">
          <cell r="J240">
            <v>0</v>
          </cell>
          <cell r="K240">
            <v>500</v>
          </cell>
        </row>
        <row r="241">
          <cell r="J241">
            <v>0</v>
          </cell>
          <cell r="K241">
            <v>0</v>
          </cell>
        </row>
        <row r="242">
          <cell r="K242">
            <v>0</v>
          </cell>
        </row>
        <row r="243">
          <cell r="K243">
            <v>0</v>
          </cell>
        </row>
        <row r="244">
          <cell r="J244">
            <v>750</v>
          </cell>
          <cell r="K244">
            <v>1000</v>
          </cell>
        </row>
        <row r="245">
          <cell r="K245">
            <v>500</v>
          </cell>
        </row>
        <row r="246">
          <cell r="K246">
            <v>500</v>
          </cell>
        </row>
        <row r="247">
          <cell r="J247">
            <v>50</v>
          </cell>
          <cell r="K247">
            <v>40</v>
          </cell>
        </row>
        <row r="248">
          <cell r="K248">
            <v>20</v>
          </cell>
        </row>
        <row r="249">
          <cell r="K249">
            <v>20</v>
          </cell>
        </row>
        <row r="250">
          <cell r="K250">
            <v>0</v>
          </cell>
        </row>
        <row r="251">
          <cell r="J251">
            <v>0</v>
          </cell>
          <cell r="K251">
            <v>0</v>
          </cell>
        </row>
        <row r="252">
          <cell r="K252">
            <v>0</v>
          </cell>
        </row>
        <row r="253">
          <cell r="K253">
            <v>0</v>
          </cell>
        </row>
        <row r="254">
          <cell r="K254">
            <v>0</v>
          </cell>
        </row>
        <row r="255">
          <cell r="J255">
            <v>0</v>
          </cell>
          <cell r="K255">
            <v>0</v>
          </cell>
        </row>
        <row r="256">
          <cell r="K256">
            <v>0</v>
          </cell>
        </row>
        <row r="257">
          <cell r="K257">
            <v>0</v>
          </cell>
        </row>
        <row r="258">
          <cell r="K258">
            <v>0</v>
          </cell>
        </row>
        <row r="259">
          <cell r="J259">
            <v>148</v>
          </cell>
          <cell r="K259">
            <v>152</v>
          </cell>
        </row>
        <row r="260">
          <cell r="J260">
            <v>43</v>
          </cell>
          <cell r="K260">
            <v>55</v>
          </cell>
        </row>
        <row r="261">
          <cell r="J261">
            <v>92</v>
          </cell>
          <cell r="K261">
            <v>85</v>
          </cell>
        </row>
        <row r="262">
          <cell r="J262">
            <v>8</v>
          </cell>
          <cell r="K262">
            <v>6</v>
          </cell>
        </row>
        <row r="263">
          <cell r="J263">
            <v>5</v>
          </cell>
          <cell r="K263">
            <v>6</v>
          </cell>
        </row>
        <row r="264">
          <cell r="K264">
            <v>5492</v>
          </cell>
        </row>
        <row r="266">
          <cell r="J266">
            <v>0</v>
          </cell>
          <cell r="K266">
            <v>0</v>
          </cell>
        </row>
        <row r="267">
          <cell r="K267">
            <v>0</v>
          </cell>
        </row>
        <row r="268">
          <cell r="K268">
            <v>0</v>
          </cell>
        </row>
        <row r="269">
          <cell r="K269">
            <v>0</v>
          </cell>
        </row>
        <row r="270">
          <cell r="J270">
            <v>0</v>
          </cell>
          <cell r="K270">
            <v>0</v>
          </cell>
        </row>
        <row r="271">
          <cell r="K271">
            <v>0</v>
          </cell>
        </row>
        <row r="272">
          <cell r="K272">
            <v>0</v>
          </cell>
        </row>
        <row r="273">
          <cell r="K273">
            <v>0</v>
          </cell>
        </row>
        <row r="274">
          <cell r="J274">
            <v>0</v>
          </cell>
          <cell r="K274">
            <v>0</v>
          </cell>
        </row>
        <row r="275">
          <cell r="K275">
            <v>0</v>
          </cell>
        </row>
        <row r="276">
          <cell r="K276">
            <v>0</v>
          </cell>
        </row>
        <row r="277">
          <cell r="K277">
            <v>0</v>
          </cell>
        </row>
        <row r="278">
          <cell r="J278">
            <v>0</v>
          </cell>
          <cell r="K278">
            <v>0</v>
          </cell>
        </row>
        <row r="279">
          <cell r="K279">
            <v>0</v>
          </cell>
        </row>
        <row r="280">
          <cell r="K280">
            <v>0</v>
          </cell>
        </row>
        <row r="281">
          <cell r="K281">
            <v>0</v>
          </cell>
        </row>
        <row r="282">
          <cell r="J282">
            <v>210</v>
          </cell>
          <cell r="K282">
            <v>170</v>
          </cell>
        </row>
        <row r="283">
          <cell r="J283">
            <v>80</v>
          </cell>
          <cell r="K283">
            <v>90</v>
          </cell>
        </row>
        <row r="284">
          <cell r="J284">
            <v>130</v>
          </cell>
          <cell r="K284">
            <v>80</v>
          </cell>
        </row>
        <row r="285">
          <cell r="J285">
            <v>1800</v>
          </cell>
          <cell r="K285">
            <v>1200</v>
          </cell>
        </row>
        <row r="286">
          <cell r="J286">
            <v>4000</v>
          </cell>
          <cell r="K286">
            <v>4000</v>
          </cell>
        </row>
        <row r="287">
          <cell r="J287">
            <v>2000</v>
          </cell>
          <cell r="K287">
            <v>2000</v>
          </cell>
        </row>
        <row r="288">
          <cell r="J288">
            <v>2000</v>
          </cell>
          <cell r="K288">
            <v>2000</v>
          </cell>
        </row>
        <row r="289">
          <cell r="K289">
            <v>5370</v>
          </cell>
        </row>
        <row r="291">
          <cell r="J291">
            <v>0</v>
          </cell>
          <cell r="K291">
            <v>0</v>
          </cell>
        </row>
        <row r="292">
          <cell r="J292">
            <v>0</v>
          </cell>
          <cell r="K292">
            <v>0</v>
          </cell>
        </row>
        <row r="293">
          <cell r="J293">
            <v>0</v>
          </cell>
          <cell r="K293">
            <v>0</v>
          </cell>
        </row>
        <row r="294">
          <cell r="J294">
            <v>0</v>
          </cell>
          <cell r="K294">
            <v>0</v>
          </cell>
        </row>
        <row r="295">
          <cell r="J295">
            <v>0</v>
          </cell>
          <cell r="K295">
            <v>0</v>
          </cell>
        </row>
        <row r="296">
          <cell r="J296">
            <v>0</v>
          </cell>
          <cell r="K296">
            <v>0</v>
          </cell>
        </row>
        <row r="297">
          <cell r="J297">
            <v>0</v>
          </cell>
          <cell r="K297">
            <v>0</v>
          </cell>
        </row>
        <row r="298">
          <cell r="J298">
            <v>0</v>
          </cell>
          <cell r="K298">
            <v>0</v>
          </cell>
        </row>
        <row r="299">
          <cell r="J299">
            <v>0</v>
          </cell>
        </row>
        <row r="300">
          <cell r="J300">
            <v>0</v>
          </cell>
        </row>
        <row r="301">
          <cell r="J301">
            <v>0</v>
          </cell>
        </row>
        <row r="303">
          <cell r="J303">
            <v>0</v>
          </cell>
        </row>
        <row r="304">
          <cell r="J304">
            <v>0</v>
          </cell>
        </row>
        <row r="305">
          <cell r="J305">
            <v>0</v>
          </cell>
        </row>
        <row r="306">
          <cell r="J306">
            <v>0</v>
          </cell>
        </row>
        <row r="308">
          <cell r="J308">
            <v>0</v>
          </cell>
        </row>
        <row r="310">
          <cell r="J310">
            <v>0</v>
          </cell>
        </row>
        <row r="311">
          <cell r="J311">
            <v>0</v>
          </cell>
        </row>
        <row r="312">
          <cell r="J312">
            <v>0</v>
          </cell>
        </row>
        <row r="313">
          <cell r="J313">
            <v>0</v>
          </cell>
        </row>
        <row r="314">
          <cell r="J314">
            <v>0</v>
          </cell>
        </row>
        <row r="315">
          <cell r="J315">
            <v>0</v>
          </cell>
        </row>
        <row r="316">
          <cell r="J316">
            <v>0</v>
          </cell>
        </row>
        <row r="317">
          <cell r="J317">
            <v>0</v>
          </cell>
        </row>
        <row r="318">
          <cell r="J318">
            <v>0</v>
          </cell>
        </row>
        <row r="319">
          <cell r="J319">
            <v>0</v>
          </cell>
        </row>
        <row r="320">
          <cell r="J320">
            <v>0</v>
          </cell>
        </row>
        <row r="321">
          <cell r="K321">
            <v>2734178.5</v>
          </cell>
        </row>
      </sheetData>
      <sheetData sheetId="12"/>
      <sheetData sheetId="13"/>
      <sheetData sheetId="14"/>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72"/>
  <sheetViews>
    <sheetView tabSelected="1" view="pageBreakPreview" topLeftCell="A120" zoomScale="40" zoomScaleNormal="40" zoomScaleSheetLayoutView="40" workbookViewId="0">
      <selection activeCell="C122" sqref="C122:L122"/>
    </sheetView>
  </sheetViews>
  <sheetFormatPr defaultRowHeight="33" x14ac:dyDescent="0.4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hidden="1" customWidth="1"/>
    <col min="14" max="14" width="49.7109375" style="3" hidden="1" customWidth="1"/>
    <col min="15" max="15" width="32" style="542" hidden="1" customWidth="1"/>
    <col min="16" max="16" width="27.85546875" style="1" hidden="1" customWidth="1"/>
    <col min="17" max="17" width="37.28515625" style="1" hidden="1" customWidth="1"/>
    <col min="18" max="18" width="19.85546875" style="1" hidden="1" customWidth="1"/>
    <col min="19" max="19" width="16.7109375" style="1" hidden="1" customWidth="1"/>
    <col min="20" max="20" width="13.42578125" style="1" hidden="1" customWidth="1"/>
    <col min="21" max="21" width="21" style="1" hidden="1" customWidth="1"/>
    <col min="22" max="22" width="28.85546875" style="1" hidden="1" customWidth="1"/>
    <col min="23" max="23" width="18.140625" style="1" hidden="1" customWidth="1"/>
    <col min="24" max="30" width="0" style="1" hidden="1" customWidth="1"/>
    <col min="31" max="31" width="25.5703125" style="1" customWidth="1"/>
    <col min="32" max="32" width="101.42578125" style="1" customWidth="1"/>
    <col min="33" max="33" width="28.42578125" style="1" bestFit="1" customWidth="1"/>
    <col min="34" max="16384" width="9.140625" style="1"/>
  </cols>
  <sheetData>
    <row r="1" spans="1:33" x14ac:dyDescent="0.45">
      <c r="E1" s="2">
        <v>5</v>
      </c>
      <c r="O1" s="4"/>
      <c r="P1" s="5"/>
      <c r="Q1" s="5"/>
      <c r="R1" s="5"/>
    </row>
    <row r="2" spans="1:33" x14ac:dyDescent="0.45">
      <c r="B2" s="5"/>
      <c r="C2" s="5"/>
      <c r="D2" s="5"/>
      <c r="E2" s="5"/>
      <c r="F2" s="6"/>
      <c r="G2" s="5"/>
      <c r="H2" s="7"/>
      <c r="I2" s="7"/>
      <c r="J2" s="7"/>
      <c r="K2" s="551" t="s">
        <v>0</v>
      </c>
      <c r="L2" s="551"/>
      <c r="O2" s="4"/>
      <c r="P2" s="5"/>
      <c r="Q2" s="5"/>
      <c r="R2" s="5"/>
    </row>
    <row r="3" spans="1:33" x14ac:dyDescent="0.45">
      <c r="B3" s="552" t="s">
        <v>1</v>
      </c>
      <c r="C3" s="552"/>
      <c r="D3" s="552"/>
      <c r="E3" s="552"/>
      <c r="F3" s="552"/>
      <c r="G3" s="552"/>
      <c r="H3" s="552"/>
      <c r="I3" s="552"/>
      <c r="J3" s="552"/>
      <c r="K3" s="552"/>
      <c r="L3" s="552"/>
      <c r="M3" s="8"/>
      <c r="N3" s="9"/>
      <c r="O3" s="4"/>
      <c r="P3" s="5"/>
      <c r="Q3" s="5"/>
      <c r="R3" s="5"/>
    </row>
    <row r="4" spans="1:33" ht="17.25" customHeight="1" thickBot="1" x14ac:dyDescent="0.5">
      <c r="O4" s="4"/>
      <c r="P4" s="5"/>
      <c r="Q4" s="5"/>
      <c r="R4" s="5"/>
    </row>
    <row r="5" spans="1:33" ht="30" customHeight="1" thickBot="1" x14ac:dyDescent="0.5">
      <c r="A5" s="553" t="s">
        <v>2</v>
      </c>
      <c r="B5" s="555" t="s">
        <v>3</v>
      </c>
      <c r="C5" s="555" t="s">
        <v>4</v>
      </c>
      <c r="D5" s="557" t="s">
        <v>5</v>
      </c>
      <c r="E5" s="555" t="s">
        <v>6</v>
      </c>
      <c r="F5" s="559" t="s">
        <v>7</v>
      </c>
      <c r="G5" s="562" t="s">
        <v>8</v>
      </c>
      <c r="H5" s="563"/>
      <c r="I5" s="563"/>
      <c r="J5" s="563"/>
      <c r="K5" s="564"/>
      <c r="L5" s="571" t="s">
        <v>9</v>
      </c>
      <c r="M5" s="10"/>
      <c r="N5" s="11"/>
      <c r="O5" s="4"/>
      <c r="P5" s="5"/>
      <c r="Q5" s="5"/>
      <c r="R5" s="5"/>
    </row>
    <row r="6" spans="1:33" ht="30" customHeight="1" thickBot="1" x14ac:dyDescent="0.5">
      <c r="A6" s="554"/>
      <c r="B6" s="556"/>
      <c r="C6" s="556"/>
      <c r="D6" s="558"/>
      <c r="E6" s="556"/>
      <c r="F6" s="560"/>
      <c r="G6" s="565"/>
      <c r="H6" s="566"/>
      <c r="I6" s="566"/>
      <c r="J6" s="566"/>
      <c r="K6" s="567"/>
      <c r="L6" s="572"/>
      <c r="M6" s="10"/>
      <c r="N6" s="11"/>
      <c r="O6" s="4"/>
      <c r="P6" s="5"/>
      <c r="Q6" s="5"/>
      <c r="R6" s="5"/>
    </row>
    <row r="7" spans="1:33" ht="11.25" customHeight="1" thickBot="1" x14ac:dyDescent="0.5">
      <c r="A7" s="554"/>
      <c r="B7" s="556"/>
      <c r="C7" s="556"/>
      <c r="D7" s="558"/>
      <c r="E7" s="556"/>
      <c r="F7" s="560"/>
      <c r="G7" s="568"/>
      <c r="H7" s="569"/>
      <c r="I7" s="569"/>
      <c r="J7" s="569"/>
      <c r="K7" s="570"/>
      <c r="L7" s="572"/>
      <c r="M7" s="10"/>
      <c r="N7" s="11"/>
      <c r="O7" s="4"/>
      <c r="P7" s="5"/>
      <c r="Q7" s="5"/>
      <c r="R7" s="5"/>
    </row>
    <row r="8" spans="1:33" ht="36.75" customHeight="1" x14ac:dyDescent="0.45">
      <c r="A8" s="554"/>
      <c r="B8" s="556"/>
      <c r="C8" s="556"/>
      <c r="D8" s="558"/>
      <c r="E8" s="556"/>
      <c r="F8" s="561"/>
      <c r="G8" s="12" t="s">
        <v>10</v>
      </c>
      <c r="H8" s="12" t="s">
        <v>11</v>
      </c>
      <c r="I8" s="12" t="s">
        <v>12</v>
      </c>
      <c r="J8" s="12" t="s">
        <v>13</v>
      </c>
      <c r="K8" s="12" t="s">
        <v>14</v>
      </c>
      <c r="L8" s="572"/>
      <c r="M8" s="10"/>
      <c r="N8" s="11"/>
      <c r="O8" s="4"/>
      <c r="P8" s="5"/>
      <c r="Q8" s="5"/>
      <c r="R8" s="5"/>
    </row>
    <row r="9" spans="1:33" ht="25.5" customHeight="1" x14ac:dyDescent="0.45">
      <c r="A9" s="13">
        <v>1</v>
      </c>
      <c r="B9" s="14">
        <v>2</v>
      </c>
      <c r="C9" s="14">
        <v>3</v>
      </c>
      <c r="D9" s="14">
        <v>4</v>
      </c>
      <c r="E9" s="14">
        <v>5</v>
      </c>
      <c r="F9" s="14">
        <v>6</v>
      </c>
      <c r="G9" s="14">
        <v>7</v>
      </c>
      <c r="H9" s="14">
        <v>8</v>
      </c>
      <c r="I9" s="14">
        <v>9</v>
      </c>
      <c r="J9" s="14">
        <v>10</v>
      </c>
      <c r="K9" s="14">
        <v>11</v>
      </c>
      <c r="L9" s="15">
        <v>12</v>
      </c>
      <c r="M9" s="16"/>
      <c r="N9" s="17"/>
      <c r="O9" s="4"/>
      <c r="P9" s="5"/>
      <c r="Q9" s="5"/>
      <c r="R9" s="5"/>
    </row>
    <row r="10" spans="1:33" ht="36.75" customHeight="1" x14ac:dyDescent="0.45">
      <c r="A10" s="18"/>
      <c r="B10" s="581" t="s">
        <v>15</v>
      </c>
      <c r="C10" s="581"/>
      <c r="D10" s="581"/>
      <c r="E10" s="581"/>
      <c r="F10" s="581"/>
      <c r="G10" s="581"/>
      <c r="H10" s="581"/>
      <c r="I10" s="581"/>
      <c r="J10" s="581"/>
      <c r="K10" s="582"/>
      <c r="L10" s="583"/>
      <c r="M10" s="19"/>
      <c r="N10" s="20"/>
      <c r="O10" s="4"/>
      <c r="P10" s="5"/>
      <c r="Q10" s="5"/>
      <c r="R10" s="5"/>
    </row>
    <row r="11" spans="1:33" ht="131.25" customHeight="1" x14ac:dyDescent="0.45">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29" t="s">
        <v>21</v>
      </c>
      <c r="M11" s="30">
        <f>849368+635502.1+7303.6+14356.5</f>
        <v>1506530.2000000002</v>
      </c>
      <c r="N11" s="30">
        <f>+J11-M11</f>
        <v>194303.79999999981</v>
      </c>
      <c r="O11" s="31">
        <f>+J11-'[1]вересень (2)'!J11</f>
        <v>0</v>
      </c>
      <c r="P11" s="32"/>
      <c r="Q11" s="5">
        <f>+K11-'[1]вересень (2)'!K11</f>
        <v>0</v>
      </c>
      <c r="R11" s="5"/>
      <c r="AE11" s="1">
        <f>+J11-'[1]26.06. +спорт+днз№15'!J11</f>
        <v>0</v>
      </c>
    </row>
    <row r="12" spans="1:33" ht="178.5" customHeight="1" x14ac:dyDescent="0.45">
      <c r="A12" s="33"/>
      <c r="B12" s="34"/>
      <c r="C12" s="35" t="s">
        <v>22</v>
      </c>
      <c r="D12" s="24" t="s">
        <v>13</v>
      </c>
      <c r="E12" s="24" t="s">
        <v>19</v>
      </c>
      <c r="F12" s="36" t="s">
        <v>23</v>
      </c>
      <c r="G12" s="37">
        <v>0</v>
      </c>
      <c r="H12" s="38">
        <v>0</v>
      </c>
      <c r="I12" s="38">
        <v>0</v>
      </c>
      <c r="J12" s="39">
        <f>30404.7+34397.5</f>
        <v>64802.2</v>
      </c>
      <c r="K12" s="39">
        <v>0</v>
      </c>
      <c r="L12" s="40" t="s">
        <v>24</v>
      </c>
      <c r="M12" s="30"/>
      <c r="N12" s="30"/>
      <c r="O12" s="31"/>
      <c r="P12" s="32"/>
      <c r="Q12" s="5"/>
      <c r="R12" s="5"/>
      <c r="AE12" s="1">
        <f>+J12-'[1]26.06. +спорт+днз№15'!J12</f>
        <v>34397.5</v>
      </c>
    </row>
    <row r="13" spans="1:33" ht="183.75" customHeight="1" x14ac:dyDescent="0.45">
      <c r="A13" s="33"/>
      <c r="B13" s="34"/>
      <c r="C13" s="41" t="s">
        <v>25</v>
      </c>
      <c r="D13" s="24" t="s">
        <v>13</v>
      </c>
      <c r="E13" s="24" t="s">
        <v>19</v>
      </c>
      <c r="F13" s="36" t="s">
        <v>26</v>
      </c>
      <c r="G13" s="42">
        <v>0</v>
      </c>
      <c r="H13" s="43">
        <v>0</v>
      </c>
      <c r="I13" s="43">
        <v>0</v>
      </c>
      <c r="J13" s="44">
        <f>18144.6+11340.7</f>
        <v>29485.3</v>
      </c>
      <c r="K13" s="44">
        <v>0</v>
      </c>
      <c r="L13" s="29" t="s">
        <v>27</v>
      </c>
      <c r="M13" s="30"/>
      <c r="N13" s="30"/>
      <c r="O13" s="31"/>
      <c r="P13" s="32"/>
      <c r="Q13" s="5"/>
      <c r="R13" s="5"/>
      <c r="AE13" s="1">
        <f>+J13-'[1]26.06. +спорт+днз№15'!J13</f>
        <v>11340.7</v>
      </c>
      <c r="AF13" s="1">
        <f>13609+4536.2</f>
        <v>18145.2</v>
      </c>
      <c r="AG13" s="1">
        <f>+AF13-J13</f>
        <v>-11340.099999999999</v>
      </c>
    </row>
    <row r="14" spans="1:33" ht="182.25" customHeight="1" x14ac:dyDescent="0.45">
      <c r="A14" s="33"/>
      <c r="B14" s="45"/>
      <c r="C14" s="41" t="s">
        <v>28</v>
      </c>
      <c r="D14" s="46" t="s">
        <v>13</v>
      </c>
      <c r="E14" s="46" t="s">
        <v>19</v>
      </c>
      <c r="F14" s="46" t="s">
        <v>26</v>
      </c>
      <c r="G14" s="37"/>
      <c r="H14" s="38"/>
      <c r="I14" s="38"/>
      <c r="J14" s="39">
        <f>893+1278.6</f>
        <v>2171.6</v>
      </c>
      <c r="K14" s="39"/>
      <c r="L14" s="29" t="s">
        <v>29</v>
      </c>
      <c r="M14" s="30"/>
      <c r="N14" s="30"/>
      <c r="O14" s="31"/>
      <c r="P14" s="32"/>
      <c r="Q14" s="5"/>
      <c r="R14" s="5"/>
      <c r="AE14" s="1">
        <f>+J14-'[1]26.06. +спорт+днз№15'!J14</f>
        <v>1278.5999999999999</v>
      </c>
    </row>
    <row r="15" spans="1:33" ht="183.75" customHeight="1" x14ac:dyDescent="0.45">
      <c r="A15" s="33"/>
      <c r="B15" s="45"/>
      <c r="C15" s="41" t="s">
        <v>30</v>
      </c>
      <c r="D15" s="46" t="s">
        <v>13</v>
      </c>
      <c r="E15" s="46" t="s">
        <v>19</v>
      </c>
      <c r="F15" s="46" t="s">
        <v>26</v>
      </c>
      <c r="G15" s="37"/>
      <c r="H15" s="38"/>
      <c r="I15" s="38"/>
      <c r="J15" s="39">
        <f>2584+2675.3</f>
        <v>5259.3</v>
      </c>
      <c r="K15" s="39"/>
      <c r="L15" s="29" t="s">
        <v>31</v>
      </c>
      <c r="M15" s="30"/>
      <c r="N15" s="30"/>
      <c r="O15" s="31"/>
      <c r="P15" s="32"/>
      <c r="Q15" s="5"/>
      <c r="R15" s="5"/>
      <c r="AE15" s="1">
        <f>+J15-'[1]26.06. +спорт+днз№15'!J15</f>
        <v>2675.3</v>
      </c>
    </row>
    <row r="16" spans="1:33" ht="246" x14ac:dyDescent="0.45">
      <c r="A16" s="33"/>
      <c r="B16" s="45"/>
      <c r="C16" s="47" t="s">
        <v>32</v>
      </c>
      <c r="D16" s="47" t="s">
        <v>13</v>
      </c>
      <c r="E16" s="47" t="s">
        <v>19</v>
      </c>
      <c r="F16" s="47" t="s">
        <v>26</v>
      </c>
      <c r="G16" s="42"/>
      <c r="H16" s="43"/>
      <c r="I16" s="43"/>
      <c r="J16" s="44">
        <f>87.2+7.9+138.8+318.1</f>
        <v>552</v>
      </c>
      <c r="K16" s="44"/>
      <c r="L16" s="29" t="s">
        <v>33</v>
      </c>
      <c r="M16" s="30"/>
      <c r="N16" s="30"/>
      <c r="O16" s="31"/>
      <c r="P16" s="32"/>
      <c r="Q16" s="5"/>
      <c r="R16" s="5"/>
      <c r="AE16" s="1">
        <f>+J16-'[1]26.06. +спорт+днз№15'!J16</f>
        <v>318.09999999999997</v>
      </c>
    </row>
    <row r="17" spans="1:32" ht="135" customHeight="1" x14ac:dyDescent="0.45">
      <c r="A17" s="33"/>
      <c r="B17" s="48" t="s">
        <v>34</v>
      </c>
      <c r="C17" s="49" t="s">
        <v>35</v>
      </c>
      <c r="D17" s="46" t="s">
        <v>18</v>
      </c>
      <c r="E17" s="46" t="s">
        <v>19</v>
      </c>
      <c r="F17" s="49" t="s">
        <v>36</v>
      </c>
      <c r="G17" s="37">
        <f>161722.9+281.9+60+8+8</f>
        <v>162080.79999999999</v>
      </c>
      <c r="H17" s="50">
        <f>26480.9+183275.9</f>
        <v>209756.79999999999</v>
      </c>
      <c r="I17" s="51">
        <f>178809.1+66.4+8.8+8.8+311.6+12169</f>
        <v>191373.69999999998</v>
      </c>
      <c r="J17" s="39">
        <v>215956.5</v>
      </c>
      <c r="K17" s="39">
        <v>216838</v>
      </c>
      <c r="L17" s="52" t="s">
        <v>37</v>
      </c>
      <c r="M17" s="30">
        <v>247233.5</v>
      </c>
      <c r="N17" s="30">
        <f>+J17-M17</f>
        <v>-31277</v>
      </c>
      <c r="O17" s="31">
        <f>+J17-'[1]вересень (2)'!J12</f>
        <v>18831.5</v>
      </c>
      <c r="P17" s="32"/>
      <c r="Q17" s="5">
        <f>+K17-'[1]вересень (2)'!K12</f>
        <v>0</v>
      </c>
      <c r="R17" s="5"/>
      <c r="AE17" s="1">
        <f>+J17-'[1]26.06. +спорт+днз№15'!J17</f>
        <v>0</v>
      </c>
    </row>
    <row r="18" spans="1:32" ht="392.25" customHeight="1" x14ac:dyDescent="0.45">
      <c r="A18" s="33"/>
      <c r="B18" s="584" t="s">
        <v>38</v>
      </c>
      <c r="C18" s="585" t="s">
        <v>39</v>
      </c>
      <c r="D18" s="587" t="s">
        <v>18</v>
      </c>
      <c r="E18" s="587" t="s">
        <v>19</v>
      </c>
      <c r="F18" s="587" t="s">
        <v>40</v>
      </c>
      <c r="G18" s="588">
        <v>98525.7</v>
      </c>
      <c r="H18" s="589">
        <f>ROUND(G18*1.062,1)+36964.84+16480.7+3700+183.5+399.2+8069.33-610</f>
        <v>169821.87000000002</v>
      </c>
      <c r="I18" s="588">
        <f>110179.9</f>
        <v>110179.9</v>
      </c>
      <c r="J18" s="588">
        <f>121197.9+3660.7</f>
        <v>124858.59999999999</v>
      </c>
      <c r="K18" s="573">
        <v>133317.70000000001</v>
      </c>
      <c r="L18" s="574" t="s">
        <v>41</v>
      </c>
      <c r="M18" s="30">
        <f>46703.4+72595.8+115.1</f>
        <v>119414.30000000002</v>
      </c>
      <c r="N18" s="30">
        <f>+J18-M18</f>
        <v>5444.2999999999738</v>
      </c>
      <c r="O18" s="31">
        <f>+J18-'[1]вересень (2)'!J13</f>
        <v>3660.6999999999971</v>
      </c>
      <c r="P18" s="32"/>
      <c r="Q18" s="5">
        <f>+K18-'[1]вересень (2)'!K13</f>
        <v>0</v>
      </c>
      <c r="R18" s="5"/>
      <c r="AE18" s="1">
        <f>+J18-'[1]26.06. +спорт+днз№15'!J18</f>
        <v>0</v>
      </c>
    </row>
    <row r="19" spans="1:32" ht="212.25" customHeight="1" x14ac:dyDescent="0.45">
      <c r="A19" s="33"/>
      <c r="B19" s="584"/>
      <c r="C19" s="586"/>
      <c r="D19" s="587"/>
      <c r="E19" s="587"/>
      <c r="F19" s="587"/>
      <c r="G19" s="588"/>
      <c r="H19" s="589"/>
      <c r="I19" s="588"/>
      <c r="J19" s="588"/>
      <c r="K19" s="573"/>
      <c r="L19" s="574"/>
      <c r="M19" s="30"/>
      <c r="N19" s="30"/>
      <c r="O19" s="31">
        <f>+J19-'[1]вересень (2)'!J14</f>
        <v>0</v>
      </c>
      <c r="P19" s="32"/>
      <c r="Q19" s="5">
        <f>+K19-'[1]вересень (2)'!K14</f>
        <v>0</v>
      </c>
      <c r="R19" s="5"/>
      <c r="AE19" s="1">
        <f>+J19-'[1]26.06. +спорт+днз№15'!J19</f>
        <v>0</v>
      </c>
    </row>
    <row r="20" spans="1:32" ht="133.5" customHeight="1" x14ac:dyDescent="0.45">
      <c r="A20" s="33"/>
      <c r="B20" s="53"/>
      <c r="C20" s="54" t="s">
        <v>42</v>
      </c>
      <c r="D20" s="54"/>
      <c r="E20" s="54"/>
      <c r="F20" s="54"/>
      <c r="G20" s="55"/>
      <c r="H20" s="56"/>
      <c r="I20" s="55"/>
      <c r="J20" s="55"/>
      <c r="K20" s="55"/>
      <c r="L20" s="57"/>
      <c r="M20" s="30"/>
      <c r="N20" s="30"/>
      <c r="O20" s="31">
        <f>+J20-'[1]вересень (2)'!J15</f>
        <v>0</v>
      </c>
      <c r="P20" s="32"/>
      <c r="Q20" s="5">
        <f>+K20-'[1]вересень (2)'!K15</f>
        <v>0</v>
      </c>
      <c r="R20" s="5"/>
      <c r="AE20" s="1">
        <f>+J20-'[1]26.06. +спорт+днз№15'!J20</f>
        <v>0</v>
      </c>
    </row>
    <row r="21" spans="1:32" ht="342" customHeight="1" x14ac:dyDescent="0.45">
      <c r="A21" s="58"/>
      <c r="B21" s="59"/>
      <c r="C21" s="60" t="s">
        <v>43</v>
      </c>
      <c r="D21" s="60"/>
      <c r="E21" s="60"/>
      <c r="F21" s="60"/>
      <c r="G21" s="60"/>
      <c r="H21" s="60"/>
      <c r="I21" s="60"/>
      <c r="J21" s="60"/>
      <c r="K21" s="60"/>
      <c r="L21" s="61"/>
      <c r="M21" s="62"/>
      <c r="N21" s="30"/>
      <c r="O21" s="31">
        <f>+J21-'[1]вересень (2)'!J16</f>
        <v>0</v>
      </c>
      <c r="P21" s="32"/>
      <c r="Q21" s="5">
        <f>+K21-'[1]вересень (2)'!K16</f>
        <v>0</v>
      </c>
      <c r="R21" s="5"/>
      <c r="AE21" s="1">
        <f>+J21-'[1]26.06. +спорт+днз№15'!J21</f>
        <v>0</v>
      </c>
    </row>
    <row r="22" spans="1:32" ht="270" customHeight="1" x14ac:dyDescent="0.45">
      <c r="A22" s="33"/>
      <c r="B22" s="59"/>
      <c r="C22" s="60" t="s">
        <v>44</v>
      </c>
      <c r="D22" s="60"/>
      <c r="E22" s="60"/>
      <c r="F22" s="60"/>
      <c r="G22" s="60"/>
      <c r="H22" s="60"/>
      <c r="I22" s="60"/>
      <c r="J22" s="60"/>
      <c r="K22" s="60"/>
      <c r="L22" s="61"/>
      <c r="M22" s="62"/>
      <c r="N22" s="30"/>
      <c r="O22" s="31">
        <f>+J22-'[1]вересень (2)'!J17</f>
        <v>0</v>
      </c>
      <c r="P22" s="32"/>
      <c r="Q22" s="5">
        <f>+K22-'[1]вересень (2)'!K17</f>
        <v>0</v>
      </c>
      <c r="R22" s="5"/>
      <c r="AE22" s="1">
        <f>+J22-'[1]26.06. +спорт+днз№15'!J22</f>
        <v>0</v>
      </c>
    </row>
    <row r="23" spans="1:32" ht="162" customHeight="1" x14ac:dyDescent="0.45">
      <c r="A23" s="63"/>
      <c r="B23" s="64" t="s">
        <v>45</v>
      </c>
      <c r="C23" s="65" t="s">
        <v>46</v>
      </c>
      <c r="D23" s="66" t="s">
        <v>18</v>
      </c>
      <c r="E23" s="67" t="s">
        <v>19</v>
      </c>
      <c r="F23" s="65" t="s">
        <v>47</v>
      </c>
      <c r="G23" s="68">
        <f>954.1+2</f>
        <v>956.1</v>
      </c>
      <c r="H23" s="69">
        <f>1004.7+2.1</f>
        <v>1006.8000000000001</v>
      </c>
      <c r="I23" s="69">
        <f>1054.9+2.2</f>
        <v>1057.1000000000001</v>
      </c>
      <c r="J23" s="70">
        <f>ROUND(I23*1.1,0)</f>
        <v>1163</v>
      </c>
      <c r="K23" s="70">
        <f>ROUND(J23*1.1,0)</f>
        <v>1279</v>
      </c>
      <c r="L23" s="71" t="s">
        <v>48</v>
      </c>
      <c r="M23" s="72">
        <v>1153.8</v>
      </c>
      <c r="N23" s="30">
        <f>+J23-M23</f>
        <v>9.2000000000000455</v>
      </c>
      <c r="O23" s="31">
        <f>+J23-'[1]вересень (2)'!J18</f>
        <v>0</v>
      </c>
      <c r="P23" s="32"/>
      <c r="Q23" s="5">
        <f>+K23-'[1]вересень (2)'!K18</f>
        <v>0</v>
      </c>
      <c r="R23" s="5"/>
      <c r="AE23" s="1">
        <f>+J23-'[1]26.06. +спорт+днз№15'!J23</f>
        <v>0</v>
      </c>
    </row>
    <row r="24" spans="1:32" ht="60" customHeight="1" x14ac:dyDescent="0.45">
      <c r="A24" s="33"/>
      <c r="B24" s="73"/>
      <c r="C24" s="74" t="s">
        <v>49</v>
      </c>
      <c r="D24" s="23" t="s">
        <v>18</v>
      </c>
      <c r="E24" s="67" t="s">
        <v>19</v>
      </c>
      <c r="F24" s="65" t="s">
        <v>26</v>
      </c>
      <c r="G24" s="75">
        <v>300</v>
      </c>
      <c r="H24" s="69">
        <v>320</v>
      </c>
      <c r="I24" s="69">
        <v>340</v>
      </c>
      <c r="J24" s="75">
        <v>370</v>
      </c>
      <c r="K24" s="75">
        <v>370</v>
      </c>
      <c r="L24" s="71" t="s">
        <v>50</v>
      </c>
      <c r="M24" s="72"/>
      <c r="N24" s="30"/>
      <c r="O24" s="31">
        <f>+J24-'[1]вересень (2)'!J19</f>
        <v>0</v>
      </c>
      <c r="P24" s="5"/>
      <c r="Q24" s="5">
        <f>+K24-'[1]вересень (2)'!K19</f>
        <v>0</v>
      </c>
      <c r="R24" s="5"/>
      <c r="AE24" s="1">
        <f>+J24-'[1]26.06. +спорт+днз№15'!J24</f>
        <v>0</v>
      </c>
    </row>
    <row r="25" spans="1:32" ht="90.75" customHeight="1" x14ac:dyDescent="0.45">
      <c r="A25" s="76"/>
      <c r="B25" s="77" t="s">
        <v>51</v>
      </c>
      <c r="C25" s="78" t="s">
        <v>52</v>
      </c>
      <c r="D25" s="23" t="s">
        <v>18</v>
      </c>
      <c r="E25" s="24" t="s">
        <v>19</v>
      </c>
      <c r="F25" s="79" t="s">
        <v>47</v>
      </c>
      <c r="G25" s="80">
        <f>749.3+1.8</f>
        <v>751.09999999999991</v>
      </c>
      <c r="H25" s="81">
        <f>789+1.9</f>
        <v>790.9</v>
      </c>
      <c r="I25" s="81">
        <f>828.6+2</f>
        <v>830.6</v>
      </c>
      <c r="J25" s="82">
        <f>ROUND(I25*1.1,0)</f>
        <v>914</v>
      </c>
      <c r="K25" s="82">
        <f>ROUND(J25*1.1,0)</f>
        <v>1005</v>
      </c>
      <c r="L25" s="71" t="s">
        <v>53</v>
      </c>
      <c r="M25" s="72">
        <v>802.8</v>
      </c>
      <c r="N25" s="30">
        <f>+J25-M25</f>
        <v>111.20000000000005</v>
      </c>
      <c r="O25" s="31">
        <f>+J25-'[1]вересень (2)'!J20</f>
        <v>0</v>
      </c>
      <c r="P25" s="32"/>
      <c r="Q25" s="5">
        <f>+K25-'[1]вересень (2)'!K20</f>
        <v>0</v>
      </c>
      <c r="R25" s="5"/>
      <c r="AE25" s="1">
        <f>+J25-'[1]26.06. +спорт+днз№15'!J25</f>
        <v>0</v>
      </c>
    </row>
    <row r="26" spans="1:32" ht="96.75" customHeight="1" x14ac:dyDescent="0.45">
      <c r="A26" s="83"/>
      <c r="B26" s="84" t="s">
        <v>54</v>
      </c>
      <c r="C26" s="85" t="s">
        <v>55</v>
      </c>
      <c r="D26" s="79" t="s">
        <v>10</v>
      </c>
      <c r="E26" s="36" t="s">
        <v>19</v>
      </c>
      <c r="F26" s="86" t="s">
        <v>26</v>
      </c>
      <c r="G26" s="87">
        <v>320</v>
      </c>
      <c r="H26" s="88">
        <v>0</v>
      </c>
      <c r="I26" s="88">
        <v>0</v>
      </c>
      <c r="J26" s="28">
        <v>0</v>
      </c>
      <c r="K26" s="28">
        <v>0</v>
      </c>
      <c r="L26" s="89" t="s">
        <v>56</v>
      </c>
      <c r="M26" s="90"/>
      <c r="N26" s="30"/>
      <c r="O26" s="31">
        <f>+J26-'[1]вересень (2)'!J21</f>
        <v>0</v>
      </c>
      <c r="P26" s="32"/>
      <c r="Q26" s="5">
        <f>+K26-'[1]вересень (2)'!K21</f>
        <v>0</v>
      </c>
      <c r="R26" s="5"/>
      <c r="AE26" s="1">
        <f>+J26-'[1]26.06. +спорт+днз№15'!J26</f>
        <v>0</v>
      </c>
    </row>
    <row r="27" spans="1:32" ht="165.75" customHeight="1" x14ac:dyDescent="0.45">
      <c r="A27" s="83"/>
      <c r="B27" s="91" t="s">
        <v>57</v>
      </c>
      <c r="C27" s="92" t="s">
        <v>58</v>
      </c>
      <c r="D27" s="92" t="s">
        <v>11</v>
      </c>
      <c r="E27" s="46" t="s">
        <v>19</v>
      </c>
      <c r="F27" s="49" t="s">
        <v>26</v>
      </c>
      <c r="G27" s="37">
        <v>0</v>
      </c>
      <c r="H27" s="51">
        <v>2345</v>
      </c>
      <c r="I27" s="51">
        <v>0</v>
      </c>
      <c r="J27" s="39">
        <v>0</v>
      </c>
      <c r="K27" s="39">
        <v>0</v>
      </c>
      <c r="L27" s="93" t="s">
        <v>59</v>
      </c>
      <c r="M27" s="90"/>
      <c r="N27" s="30"/>
      <c r="O27" s="31">
        <f>+J27-'[1]вересень (2)'!J22</f>
        <v>0</v>
      </c>
      <c r="P27" s="32"/>
      <c r="Q27" s="5">
        <f>+K27-'[1]вересень (2)'!K22</f>
        <v>0</v>
      </c>
      <c r="R27" s="5"/>
      <c r="AE27" s="1">
        <f>+J27-'[1]26.06. +спорт+днз№15'!J27</f>
        <v>0</v>
      </c>
    </row>
    <row r="28" spans="1:32" ht="360.75" customHeight="1" x14ac:dyDescent="0.45">
      <c r="A28" s="83"/>
      <c r="B28" s="94" t="s">
        <v>60</v>
      </c>
      <c r="C28" s="49" t="s">
        <v>61</v>
      </c>
      <c r="D28" s="92" t="s">
        <v>13</v>
      </c>
      <c r="E28" s="46" t="s">
        <v>19</v>
      </c>
      <c r="F28" s="49" t="s">
        <v>26</v>
      </c>
      <c r="G28" s="37">
        <v>0</v>
      </c>
      <c r="H28" s="51">
        <v>0</v>
      </c>
      <c r="I28" s="51">
        <v>0</v>
      </c>
      <c r="J28" s="39">
        <v>100</v>
      </c>
      <c r="K28" s="39">
        <v>0</v>
      </c>
      <c r="L28" s="95" t="s">
        <v>62</v>
      </c>
      <c r="M28" s="90"/>
      <c r="N28" s="30"/>
      <c r="O28" s="31"/>
      <c r="P28" s="32"/>
      <c r="Q28" s="5"/>
      <c r="R28" s="5"/>
      <c r="AE28" s="1">
        <f>+J28-'[1]26.06. +спорт+днз№15'!J28</f>
        <v>0</v>
      </c>
    </row>
    <row r="29" spans="1:32" ht="30.75" customHeight="1" x14ac:dyDescent="0.45">
      <c r="A29" s="96"/>
      <c r="B29" s="97"/>
      <c r="C29" s="98" t="s">
        <v>63</v>
      </c>
      <c r="D29" s="99"/>
      <c r="E29" s="99"/>
      <c r="F29" s="100"/>
      <c r="G29" s="101">
        <f>ROUND(SUM(G11:G26),1)</f>
        <v>1585681.4</v>
      </c>
      <c r="H29" s="102">
        <f>SUM(H11:H27)</f>
        <v>1832316.9700000002</v>
      </c>
      <c r="I29" s="103">
        <f>SUM(I11:I25)</f>
        <v>1849993.7</v>
      </c>
      <c r="J29" s="103">
        <f>SUM(J11:J28)</f>
        <v>2146466.5</v>
      </c>
      <c r="K29" s="103">
        <f>SUM(K11:K25)</f>
        <v>2223726.7000000002</v>
      </c>
      <c r="L29" s="104"/>
      <c r="M29" s="105"/>
      <c r="N29" s="106"/>
      <c r="O29" s="31"/>
      <c r="P29" s="5"/>
      <c r="Q29" s="5">
        <f>+K29-'[1]вересень (2)'!K23</f>
        <v>0</v>
      </c>
      <c r="R29" s="5"/>
      <c r="AE29" s="1">
        <f>+J29-'[1]26.06. +спорт+днз№15'!J29</f>
        <v>50010.199999999953</v>
      </c>
      <c r="AF29" s="1">
        <f>+J29-'[1]січень 2025'!J26</f>
        <v>53721.09999999986</v>
      </c>
    </row>
    <row r="30" spans="1:32" ht="31.5" customHeight="1" x14ac:dyDescent="0.45">
      <c r="A30" s="107"/>
      <c r="B30" s="108"/>
      <c r="C30" s="575" t="s">
        <v>64</v>
      </c>
      <c r="D30" s="575"/>
      <c r="E30" s="575"/>
      <c r="F30" s="575"/>
      <c r="G30" s="575"/>
      <c r="H30" s="575"/>
      <c r="I30" s="575"/>
      <c r="J30" s="575"/>
      <c r="K30" s="575"/>
      <c r="L30" s="109"/>
      <c r="M30" s="110"/>
      <c r="N30" s="30"/>
      <c r="O30" s="31">
        <f>+J30-'[1]вересень (2)'!J24</f>
        <v>0</v>
      </c>
      <c r="P30" s="5"/>
      <c r="Q30" s="5">
        <f>+K30-'[1]вересень (2)'!K24</f>
        <v>0</v>
      </c>
      <c r="R30" s="5"/>
      <c r="AE30" s="1">
        <f>+J30-'[1]26.06. +спорт+днз№15'!J30</f>
        <v>0</v>
      </c>
    </row>
    <row r="31" spans="1:32" ht="123.75" customHeight="1" x14ac:dyDescent="0.45">
      <c r="A31" s="111"/>
      <c r="B31" s="48" t="s">
        <v>65</v>
      </c>
      <c r="C31" s="46" t="s">
        <v>66</v>
      </c>
      <c r="D31" s="46" t="s">
        <v>18</v>
      </c>
      <c r="E31" s="46" t="s">
        <v>19</v>
      </c>
      <c r="F31" s="49" t="s">
        <v>67</v>
      </c>
      <c r="G31" s="38">
        <v>0</v>
      </c>
      <c r="H31" s="38">
        <v>0</v>
      </c>
      <c r="I31" s="38">
        <v>0</v>
      </c>
      <c r="J31" s="38">
        <v>0</v>
      </c>
      <c r="K31" s="38">
        <v>0</v>
      </c>
      <c r="L31" s="112" t="s">
        <v>68</v>
      </c>
      <c r="M31" s="113"/>
      <c r="N31" s="30"/>
      <c r="O31" s="31">
        <f>+J31-'[1]вересень (2)'!J25</f>
        <v>0</v>
      </c>
      <c r="P31" s="5"/>
      <c r="Q31" s="5">
        <f>+K31-'[1]вересень (2)'!K25</f>
        <v>0</v>
      </c>
      <c r="R31" s="5"/>
      <c r="AE31" s="1">
        <f>+J31-'[1]26.06. +спорт+днз№15'!J31</f>
        <v>0</v>
      </c>
    </row>
    <row r="32" spans="1:32" ht="157.5" customHeight="1" x14ac:dyDescent="0.45">
      <c r="A32" s="33"/>
      <c r="B32" s="114"/>
      <c r="C32" s="46" t="s">
        <v>69</v>
      </c>
      <c r="D32" s="46" t="s">
        <v>18</v>
      </c>
      <c r="E32" s="46" t="s">
        <v>19</v>
      </c>
      <c r="F32" s="49" t="s">
        <v>67</v>
      </c>
      <c r="G32" s="38">
        <v>0</v>
      </c>
      <c r="H32" s="38">
        <v>0</v>
      </c>
      <c r="I32" s="38">
        <v>0</v>
      </c>
      <c r="J32" s="38">
        <v>0</v>
      </c>
      <c r="K32" s="38">
        <v>0</v>
      </c>
      <c r="L32" s="112" t="s">
        <v>70</v>
      </c>
      <c r="M32" s="113"/>
      <c r="N32" s="30"/>
      <c r="O32" s="31">
        <f>+J32-'[1]вересень (2)'!J26</f>
        <v>0</v>
      </c>
      <c r="P32" s="5"/>
      <c r="Q32" s="5">
        <f>+K32-'[1]вересень (2)'!K26</f>
        <v>0</v>
      </c>
      <c r="R32" s="5"/>
      <c r="AE32" s="1">
        <f>+J32-'[1]26.06. +спорт+днз№15'!J32</f>
        <v>0</v>
      </c>
    </row>
    <row r="33" spans="1:31" ht="216" customHeight="1" x14ac:dyDescent="0.45">
      <c r="A33" s="33"/>
      <c r="B33" s="48"/>
      <c r="C33" s="46" t="s">
        <v>71</v>
      </c>
      <c r="D33" s="46" t="s">
        <v>18</v>
      </c>
      <c r="E33" s="46" t="s">
        <v>19</v>
      </c>
      <c r="F33" s="49" t="s">
        <v>67</v>
      </c>
      <c r="G33" s="38">
        <v>0</v>
      </c>
      <c r="H33" s="38">
        <v>0</v>
      </c>
      <c r="I33" s="38">
        <v>0</v>
      </c>
      <c r="J33" s="38">
        <v>0</v>
      </c>
      <c r="K33" s="38">
        <v>0</v>
      </c>
      <c r="L33" s="112" t="s">
        <v>72</v>
      </c>
      <c r="M33" s="113"/>
      <c r="N33" s="30"/>
      <c r="O33" s="31">
        <f>+J33-'[1]вересень (2)'!J27</f>
        <v>0</v>
      </c>
      <c r="P33" s="5"/>
      <c r="Q33" s="5">
        <f>+K33-'[1]вересень (2)'!K27</f>
        <v>0</v>
      </c>
      <c r="R33" s="5"/>
      <c r="AE33" s="1">
        <f>+J33-'[1]26.06. +спорт+днз№15'!J33</f>
        <v>0</v>
      </c>
    </row>
    <row r="34" spans="1:31" ht="191.25" customHeight="1" x14ac:dyDescent="0.45">
      <c r="A34" s="33"/>
      <c r="B34" s="48"/>
      <c r="C34" s="47" t="s">
        <v>73</v>
      </c>
      <c r="D34" s="115" t="s">
        <v>18</v>
      </c>
      <c r="E34" s="116" t="s">
        <v>19</v>
      </c>
      <c r="F34" s="117" t="s">
        <v>67</v>
      </c>
      <c r="G34" s="118">
        <v>0</v>
      </c>
      <c r="H34" s="118">
        <v>0</v>
      </c>
      <c r="I34" s="118">
        <v>0</v>
      </c>
      <c r="J34" s="118">
        <v>0</v>
      </c>
      <c r="K34" s="118">
        <v>0</v>
      </c>
      <c r="L34" s="119" t="s">
        <v>74</v>
      </c>
      <c r="M34" s="90"/>
      <c r="N34" s="30"/>
      <c r="O34" s="31">
        <f>+J34-'[1]вересень (2)'!J28</f>
        <v>0</v>
      </c>
      <c r="P34" s="5"/>
      <c r="Q34" s="5">
        <f>+K34-'[1]вересень (2)'!K28</f>
        <v>0</v>
      </c>
      <c r="R34" s="5"/>
      <c r="AE34" s="1">
        <f>+J34-'[1]26.06. +спорт+днз№15'!J34</f>
        <v>0</v>
      </c>
    </row>
    <row r="35" spans="1:31" ht="163.5" customHeight="1" x14ac:dyDescent="0.45">
      <c r="A35" s="58"/>
      <c r="B35" s="48"/>
      <c r="C35" s="46" t="s">
        <v>75</v>
      </c>
      <c r="D35" s="120" t="s">
        <v>18</v>
      </c>
      <c r="E35" s="121" t="s">
        <v>19</v>
      </c>
      <c r="F35" s="49" t="s">
        <v>26</v>
      </c>
      <c r="G35" s="576" t="s">
        <v>76</v>
      </c>
      <c r="H35" s="577"/>
      <c r="I35" s="577"/>
      <c r="J35" s="577"/>
      <c r="K35" s="578"/>
      <c r="L35" s="122" t="s">
        <v>77</v>
      </c>
      <c r="M35" s="123"/>
      <c r="N35" s="30"/>
      <c r="O35" s="31">
        <f>+J35-'[1]вересень (2)'!J29</f>
        <v>0</v>
      </c>
      <c r="P35" s="5"/>
      <c r="Q35" s="5">
        <f>+K35-'[1]вересень (2)'!K29</f>
        <v>0</v>
      </c>
      <c r="R35" s="5"/>
      <c r="AE35" s="1">
        <f>+J35-'[1]26.06. +спорт+днз№15'!J35</f>
        <v>0</v>
      </c>
    </row>
    <row r="36" spans="1:31" ht="306.75" customHeight="1" x14ac:dyDescent="0.45">
      <c r="A36" s="33"/>
      <c r="B36" s="53"/>
      <c r="C36" s="60" t="s">
        <v>78</v>
      </c>
      <c r="D36" s="60" t="s">
        <v>79</v>
      </c>
      <c r="E36" s="139" t="s">
        <v>19</v>
      </c>
      <c r="F36" s="128" t="s">
        <v>26</v>
      </c>
      <c r="G36" s="543">
        <f>970.7+278.3</f>
        <v>1249</v>
      </c>
      <c r="H36" s="232">
        <v>556.6</v>
      </c>
      <c r="I36" s="232">
        <f>656+310.4</f>
        <v>966.4</v>
      </c>
      <c r="J36" s="232">
        <f>1147.6+58.6</f>
        <v>1206.1999999999998</v>
      </c>
      <c r="K36" s="232">
        <v>0</v>
      </c>
      <c r="L36" s="544" t="s">
        <v>80</v>
      </c>
      <c r="M36" s="123">
        <v>1147.5999999999999</v>
      </c>
      <c r="N36" s="30">
        <f>+J36-M36</f>
        <v>58.599999999999909</v>
      </c>
      <c r="O36" s="31">
        <f>+J36-'[1]вересень (2)'!J30</f>
        <v>1206.1999999999998</v>
      </c>
      <c r="P36" s="5"/>
      <c r="Q36" s="5">
        <f>+K36-'[1]вересень (2)'!K30</f>
        <v>0</v>
      </c>
      <c r="R36" s="5"/>
      <c r="AE36" s="207">
        <f>+J36-'[1]26.06. +спорт+днз№15'!J36</f>
        <v>58.599999999999909</v>
      </c>
    </row>
    <row r="37" spans="1:31" ht="150" customHeight="1" x14ac:dyDescent="0.45">
      <c r="A37" s="124"/>
      <c r="B37" s="48" t="s">
        <v>81</v>
      </c>
      <c r="C37" s="46" t="s">
        <v>82</v>
      </c>
      <c r="D37" s="46" t="s">
        <v>18</v>
      </c>
      <c r="E37" s="46" t="s">
        <v>19</v>
      </c>
      <c r="F37" s="49" t="s">
        <v>26</v>
      </c>
      <c r="G37" s="46">
        <v>500</v>
      </c>
      <c r="H37" s="46">
        <v>2000</v>
      </c>
      <c r="I37" s="46">
        <v>0</v>
      </c>
      <c r="J37" s="46">
        <v>0</v>
      </c>
      <c r="K37" s="46">
        <v>0</v>
      </c>
      <c r="L37" s="52" t="s">
        <v>83</v>
      </c>
      <c r="M37" s="72"/>
      <c r="N37" s="30"/>
      <c r="O37" s="31">
        <f>+J37-'[1]вересень (2)'!J31</f>
        <v>0</v>
      </c>
      <c r="P37" s="5"/>
      <c r="Q37" s="5">
        <f>+K37-'[1]вересень (2)'!K31</f>
        <v>0</v>
      </c>
      <c r="R37" s="5"/>
      <c r="AE37" s="1">
        <f>+J37-'[1]26.06. +спорт+днз№15'!J37</f>
        <v>0</v>
      </c>
    </row>
    <row r="38" spans="1:31" ht="182.25" customHeight="1" x14ac:dyDescent="0.45">
      <c r="A38" s="124"/>
      <c r="B38" s="48"/>
      <c r="C38" s="125" t="s">
        <v>84</v>
      </c>
      <c r="D38" s="46" t="s">
        <v>18</v>
      </c>
      <c r="E38" s="46" t="s">
        <v>19</v>
      </c>
      <c r="F38" s="49" t="s">
        <v>26</v>
      </c>
      <c r="G38" s="46">
        <v>2500</v>
      </c>
      <c r="H38" s="46">
        <v>0</v>
      </c>
      <c r="I38" s="46">
        <v>0</v>
      </c>
      <c r="J38" s="46">
        <v>0</v>
      </c>
      <c r="K38" s="46">
        <v>0</v>
      </c>
      <c r="L38" s="52" t="s">
        <v>85</v>
      </c>
      <c r="M38" s="72"/>
      <c r="N38" s="30"/>
      <c r="O38" s="31">
        <f>+J38-'[1]вересень (2)'!J32</f>
        <v>0</v>
      </c>
      <c r="P38" s="5"/>
      <c r="Q38" s="5">
        <f>+K38-'[1]вересень (2)'!K32</f>
        <v>0</v>
      </c>
      <c r="R38" s="5"/>
      <c r="AE38" s="1">
        <f>+J38-'[1]26.06. +спорт+днз№15'!J38</f>
        <v>0</v>
      </c>
    </row>
    <row r="39" spans="1:31" ht="212.25" customHeight="1" x14ac:dyDescent="0.45">
      <c r="A39" s="33"/>
      <c r="B39" s="48" t="s">
        <v>86</v>
      </c>
      <c r="C39" s="126" t="s">
        <v>87</v>
      </c>
      <c r="D39" s="127" t="s">
        <v>18</v>
      </c>
      <c r="E39" s="127" t="s">
        <v>19</v>
      </c>
      <c r="F39" s="128" t="s">
        <v>47</v>
      </c>
      <c r="G39" s="129">
        <f>35991.8+32196.4</f>
        <v>68188.200000000012</v>
      </c>
      <c r="H39" s="129">
        <f>37899.4+33902.8</f>
        <v>71802.200000000012</v>
      </c>
      <c r="I39" s="129">
        <f>39794.4+35597.9</f>
        <v>75392.3</v>
      </c>
      <c r="J39" s="127">
        <f>ROUND(I39*1.1,0)</f>
        <v>82932</v>
      </c>
      <c r="K39" s="127">
        <f>ROUND(J39*1.1,0)</f>
        <v>91225</v>
      </c>
      <c r="L39" s="130" t="s">
        <v>88</v>
      </c>
      <c r="M39" s="30">
        <f>39929.6+25550.1</f>
        <v>65479.7</v>
      </c>
      <c r="N39" s="30">
        <f>+J39-M39</f>
        <v>17452.300000000003</v>
      </c>
      <c r="O39" s="31">
        <f>+J39-'[1]вересень (2)'!J33</f>
        <v>0</v>
      </c>
      <c r="P39" s="32"/>
      <c r="Q39" s="5">
        <f>+K39-'[1]вересень (2)'!K33</f>
        <v>0</v>
      </c>
      <c r="R39" s="5"/>
      <c r="AE39" s="1">
        <f>+J39-'[1]26.06. +спорт+днз№15'!J39</f>
        <v>0</v>
      </c>
    </row>
    <row r="40" spans="1:31" ht="153.75" x14ac:dyDescent="0.45">
      <c r="A40" s="579"/>
      <c r="B40" s="48"/>
      <c r="C40" s="131" t="s">
        <v>89</v>
      </c>
      <c r="D40" s="132" t="s">
        <v>18</v>
      </c>
      <c r="E40" s="133" t="s">
        <v>19</v>
      </c>
      <c r="F40" s="134" t="s">
        <v>26</v>
      </c>
      <c r="G40" s="135">
        <v>308</v>
      </c>
      <c r="H40" s="135">
        <v>0</v>
      </c>
      <c r="I40" s="135">
        <f>10*2</f>
        <v>20</v>
      </c>
      <c r="J40" s="135">
        <v>197.1</v>
      </c>
      <c r="K40" s="135">
        <v>0</v>
      </c>
      <c r="L40" s="136" t="s">
        <v>90</v>
      </c>
      <c r="M40" s="137">
        <v>197.1</v>
      </c>
      <c r="N40" s="30">
        <f>+J40-M40</f>
        <v>0</v>
      </c>
      <c r="O40" s="31">
        <f>+J40-'[1]вересень (2)'!J34</f>
        <v>197.1</v>
      </c>
      <c r="P40" s="5"/>
      <c r="Q40" s="5">
        <f>+K40-'[1]вересень (2)'!K34</f>
        <v>0</v>
      </c>
      <c r="R40" s="5"/>
      <c r="AE40" s="1">
        <f>+J40-'[1]26.06. +спорт+днз№15'!J40</f>
        <v>0</v>
      </c>
    </row>
    <row r="41" spans="1:31" ht="153.75" x14ac:dyDescent="0.45">
      <c r="A41" s="579"/>
      <c r="B41" s="59"/>
      <c r="C41" s="138" t="s">
        <v>91</v>
      </c>
      <c r="D41" s="66" t="s">
        <v>18</v>
      </c>
      <c r="E41" s="139" t="s">
        <v>19</v>
      </c>
      <c r="F41" s="140" t="s">
        <v>26</v>
      </c>
      <c r="G41" s="141">
        <v>3900</v>
      </c>
      <c r="H41" s="141">
        <v>2000</v>
      </c>
      <c r="I41" s="141">
        <v>1500</v>
      </c>
      <c r="J41" s="141">
        <v>1000</v>
      </c>
      <c r="K41" s="142">
        <v>1000</v>
      </c>
      <c r="L41" s="143" t="s">
        <v>92</v>
      </c>
      <c r="M41" s="30">
        <v>275.39999999999998</v>
      </c>
      <c r="N41" s="30">
        <f>+J41-M41</f>
        <v>724.6</v>
      </c>
      <c r="O41" s="31">
        <f>+J41-'[1]вересень (2)'!J35</f>
        <v>0</v>
      </c>
      <c r="P41" s="5"/>
      <c r="Q41" s="5">
        <f>+K41-'[1]вересень (2)'!K35</f>
        <v>0</v>
      </c>
      <c r="R41" s="5"/>
      <c r="AE41" s="1">
        <f>+J41-'[1]26.06. +спорт+днз№15'!J41</f>
        <v>0</v>
      </c>
    </row>
    <row r="42" spans="1:31" ht="153.75" x14ac:dyDescent="0.45">
      <c r="A42" s="33"/>
      <c r="B42" s="48"/>
      <c r="C42" s="144" t="s">
        <v>93</v>
      </c>
      <c r="D42" s="23" t="s">
        <v>18</v>
      </c>
      <c r="E42" s="46" t="s">
        <v>19</v>
      </c>
      <c r="F42" s="49" t="s">
        <v>67</v>
      </c>
      <c r="G42" s="135">
        <v>0</v>
      </c>
      <c r="H42" s="135">
        <v>0</v>
      </c>
      <c r="I42" s="135">
        <v>0</v>
      </c>
      <c r="J42" s="135">
        <v>0</v>
      </c>
      <c r="K42" s="135">
        <v>0</v>
      </c>
      <c r="L42" s="40" t="s">
        <v>94</v>
      </c>
      <c r="M42" s="30"/>
      <c r="N42" s="30"/>
      <c r="O42" s="31">
        <f>+J42-'[1]вересень (2)'!J36</f>
        <v>0</v>
      </c>
      <c r="P42" s="5"/>
      <c r="Q42" s="5">
        <f>+K42-'[1]вересень (2)'!K36</f>
        <v>0</v>
      </c>
      <c r="R42" s="5"/>
      <c r="AE42" s="1">
        <f>+J42-'[1]26.06. +спорт+днз№15'!J42</f>
        <v>0</v>
      </c>
    </row>
    <row r="43" spans="1:31" ht="123" x14ac:dyDescent="0.45">
      <c r="A43" s="33"/>
      <c r="B43" s="48"/>
      <c r="C43" s="131" t="s">
        <v>95</v>
      </c>
      <c r="D43" s="23" t="s">
        <v>18</v>
      </c>
      <c r="E43" s="67" t="s">
        <v>19</v>
      </c>
      <c r="F43" s="65" t="s">
        <v>26</v>
      </c>
      <c r="G43" s="68">
        <v>470</v>
      </c>
      <c r="H43" s="135">
        <v>0</v>
      </c>
      <c r="I43" s="135">
        <v>0</v>
      </c>
      <c r="J43" s="135">
        <v>288</v>
      </c>
      <c r="K43" s="135">
        <v>0</v>
      </c>
      <c r="L43" s="145" t="s">
        <v>96</v>
      </c>
      <c r="M43" s="30">
        <v>288</v>
      </c>
      <c r="N43" s="30">
        <f>+J43-M43</f>
        <v>0</v>
      </c>
      <c r="O43" s="31">
        <f>+J43-'[1]вересень (2)'!J37</f>
        <v>288</v>
      </c>
      <c r="P43" s="5"/>
      <c r="Q43" s="5">
        <f>+K43-'[1]вересень (2)'!K37</f>
        <v>0</v>
      </c>
      <c r="R43" s="5"/>
      <c r="AE43" s="1">
        <f>+J43-'[1]26.06. +спорт+днз№15'!J43</f>
        <v>0</v>
      </c>
    </row>
    <row r="44" spans="1:31" ht="92.25" x14ac:dyDescent="0.45">
      <c r="A44" s="33"/>
      <c r="B44" s="48"/>
      <c r="C44" s="146" t="s">
        <v>97</v>
      </c>
      <c r="D44" s="24" t="s">
        <v>18</v>
      </c>
      <c r="E44" s="116" t="s">
        <v>19</v>
      </c>
      <c r="F44" s="117" t="s">
        <v>26</v>
      </c>
      <c r="G44" s="147">
        <v>3407.8</v>
      </c>
      <c r="H44" s="147">
        <v>0</v>
      </c>
      <c r="I44" s="147">
        <v>0</v>
      </c>
      <c r="J44" s="147">
        <v>0</v>
      </c>
      <c r="K44" s="147">
        <v>0</v>
      </c>
      <c r="L44" s="148" t="s">
        <v>98</v>
      </c>
      <c r="M44" s="30"/>
      <c r="N44" s="30"/>
      <c r="O44" s="31">
        <f>+J44-'[1]вересень (2)'!J38</f>
        <v>0</v>
      </c>
      <c r="P44" s="5"/>
      <c r="Q44" s="5">
        <f>+K44-'[1]вересень (2)'!K38</f>
        <v>0</v>
      </c>
      <c r="R44" s="5"/>
      <c r="AE44" s="1">
        <f>+J44-'[1]26.06. +спорт+днз№15'!J44</f>
        <v>0</v>
      </c>
    </row>
    <row r="45" spans="1:31" ht="123" x14ac:dyDescent="0.45">
      <c r="A45" s="33"/>
      <c r="B45" s="580" t="s">
        <v>99</v>
      </c>
      <c r="C45" s="134" t="s">
        <v>100</v>
      </c>
      <c r="D45" s="23" t="s">
        <v>18</v>
      </c>
      <c r="E45" s="116" t="s">
        <v>19</v>
      </c>
      <c r="F45" s="117" t="s">
        <v>26</v>
      </c>
      <c r="G45" s="149">
        <v>3165</v>
      </c>
      <c r="H45" s="149">
        <v>3165</v>
      </c>
      <c r="I45" s="149">
        <v>2000</v>
      </c>
      <c r="J45" s="149">
        <v>1000</v>
      </c>
      <c r="K45" s="149">
        <v>1000</v>
      </c>
      <c r="L45" s="150" t="s">
        <v>101</v>
      </c>
      <c r="M45" s="30"/>
      <c r="N45" s="30"/>
      <c r="O45" s="31">
        <f>+J45-'[1]вересень (2)'!J39</f>
        <v>0</v>
      </c>
      <c r="P45" s="5"/>
      <c r="Q45" s="5">
        <f>+K45-'[1]вересень (2)'!K39</f>
        <v>0</v>
      </c>
      <c r="R45" s="5"/>
      <c r="AE45" s="1">
        <f>+J45-'[1]26.06. +спорт+днз№15'!J45</f>
        <v>0</v>
      </c>
    </row>
    <row r="46" spans="1:31" ht="123" x14ac:dyDescent="0.45">
      <c r="A46" s="33"/>
      <c r="B46" s="580"/>
      <c r="C46" s="134" t="s">
        <v>102</v>
      </c>
      <c r="D46" s="23" t="s">
        <v>18</v>
      </c>
      <c r="E46" s="46" t="s">
        <v>19</v>
      </c>
      <c r="F46" s="49" t="s">
        <v>26</v>
      </c>
      <c r="G46" s="151">
        <v>976</v>
      </c>
      <c r="H46" s="151">
        <v>976</v>
      </c>
      <c r="I46" s="151">
        <v>976</v>
      </c>
      <c r="J46" s="151">
        <v>976</v>
      </c>
      <c r="K46" s="151">
        <v>976</v>
      </c>
      <c r="L46" s="152" t="s">
        <v>101</v>
      </c>
      <c r="M46" s="30"/>
      <c r="N46" s="30"/>
      <c r="O46" s="31">
        <f>+J46-'[1]вересень (2)'!J40</f>
        <v>0</v>
      </c>
      <c r="P46" s="5"/>
      <c r="Q46" s="5">
        <f>+K46-'[1]вересень (2)'!K40</f>
        <v>0</v>
      </c>
      <c r="R46" s="5"/>
      <c r="AE46" s="1">
        <f>+J46-'[1]26.06. +спорт+днз№15'!J46</f>
        <v>0</v>
      </c>
    </row>
    <row r="47" spans="1:31" ht="123" x14ac:dyDescent="0.45">
      <c r="A47" s="124"/>
      <c r="B47" s="580"/>
      <c r="C47" s="134" t="s">
        <v>103</v>
      </c>
      <c r="D47" s="132" t="s">
        <v>18</v>
      </c>
      <c r="E47" s="132" t="s">
        <v>19</v>
      </c>
      <c r="F47" s="153" t="s">
        <v>26</v>
      </c>
      <c r="G47" s="154">
        <v>750</v>
      </c>
      <c r="H47" s="154">
        <v>800</v>
      </c>
      <c r="I47" s="154">
        <v>850</v>
      </c>
      <c r="J47" s="154">
        <v>900</v>
      </c>
      <c r="K47" s="154">
        <v>900</v>
      </c>
      <c r="L47" s="155" t="s">
        <v>104</v>
      </c>
      <c r="M47" s="30"/>
      <c r="N47" s="30"/>
      <c r="O47" s="31">
        <f>+J47-'[1]вересень (2)'!J41</f>
        <v>0</v>
      </c>
      <c r="P47" s="5"/>
      <c r="Q47" s="5">
        <f>+K47-'[1]вересень (2)'!K41</f>
        <v>0</v>
      </c>
      <c r="R47" s="5"/>
      <c r="AE47" s="1">
        <f>+J47-'[1]26.06. +спорт+днз№15'!J47</f>
        <v>0</v>
      </c>
    </row>
    <row r="48" spans="1:31" ht="159.75" customHeight="1" x14ac:dyDescent="0.45">
      <c r="A48" s="33"/>
      <c r="B48" s="97"/>
      <c r="C48" s="156" t="s">
        <v>105</v>
      </c>
      <c r="D48" s="67" t="s">
        <v>18</v>
      </c>
      <c r="E48" s="67" t="s">
        <v>19</v>
      </c>
      <c r="F48" s="65" t="s">
        <v>26</v>
      </c>
      <c r="G48" s="157">
        <v>2000</v>
      </c>
      <c r="H48" s="157">
        <v>2000</v>
      </c>
      <c r="I48" s="157">
        <v>2000</v>
      </c>
      <c r="J48" s="157">
        <v>2000</v>
      </c>
      <c r="K48" s="157">
        <v>1800</v>
      </c>
      <c r="L48" s="158" t="s">
        <v>106</v>
      </c>
      <c r="M48" s="30"/>
      <c r="N48" s="30"/>
      <c r="O48" s="31">
        <f>+J48-'[1]вересень (2)'!J42</f>
        <v>0</v>
      </c>
      <c r="P48" s="5"/>
      <c r="Q48" s="5">
        <f>+K48-'[1]вересень (2)'!K42</f>
        <v>0</v>
      </c>
      <c r="R48" s="5"/>
      <c r="AE48" s="1">
        <f>+J48-'[1]26.06. +спорт+днз№15'!J48</f>
        <v>0</v>
      </c>
    </row>
    <row r="49" spans="1:156" ht="123" x14ac:dyDescent="0.45">
      <c r="A49" s="579"/>
      <c r="B49" s="48"/>
      <c r="C49" s="159" t="s">
        <v>107</v>
      </c>
      <c r="D49" s="66" t="s">
        <v>18</v>
      </c>
      <c r="E49" s="139" t="s">
        <v>19</v>
      </c>
      <c r="F49" s="140" t="s">
        <v>26</v>
      </c>
      <c r="G49" s="160">
        <v>1282.2</v>
      </c>
      <c r="H49" s="160">
        <v>0</v>
      </c>
      <c r="I49" s="160">
        <v>0</v>
      </c>
      <c r="J49" s="160">
        <v>0</v>
      </c>
      <c r="K49" s="160">
        <v>0</v>
      </c>
      <c r="L49" s="161" t="s">
        <v>108</v>
      </c>
      <c r="M49" s="30"/>
      <c r="N49" s="30"/>
      <c r="O49" s="31">
        <f>+J49-'[1]вересень (2)'!J43</f>
        <v>0</v>
      </c>
      <c r="P49" s="5"/>
      <c r="Q49" s="5">
        <f>+K49-'[1]вересень (2)'!K43</f>
        <v>0</v>
      </c>
      <c r="R49" s="5"/>
      <c r="AE49" s="1">
        <f>+J49-'[1]26.06. +спорт+днз№15'!J49</f>
        <v>0</v>
      </c>
    </row>
    <row r="50" spans="1:156" ht="215.25" x14ac:dyDescent="0.45">
      <c r="A50" s="579"/>
      <c r="B50" s="48"/>
      <c r="C50" s="134" t="s">
        <v>109</v>
      </c>
      <c r="D50" s="23" t="s">
        <v>18</v>
      </c>
      <c r="E50" s="46" t="s">
        <v>19</v>
      </c>
      <c r="F50" s="49" t="s">
        <v>26</v>
      </c>
      <c r="G50" s="38">
        <v>350</v>
      </c>
      <c r="H50" s="38">
        <f>598.3+200</f>
        <v>798.3</v>
      </c>
      <c r="I50" s="38">
        <v>280</v>
      </c>
      <c r="J50" s="38">
        <v>280</v>
      </c>
      <c r="K50" s="38">
        <v>280</v>
      </c>
      <c r="L50" s="162" t="s">
        <v>110</v>
      </c>
      <c r="M50" s="30"/>
      <c r="N50" s="30"/>
      <c r="O50" s="31">
        <f>+J50-'[1]вересень (2)'!J44</f>
        <v>0</v>
      </c>
      <c r="P50" s="5"/>
      <c r="Q50" s="5">
        <f>+K50-'[1]вересень (2)'!K44</f>
        <v>0</v>
      </c>
      <c r="R50" s="5"/>
      <c r="AE50" s="1">
        <f>+J50-'[1]26.06. +спорт+днз№15'!J50</f>
        <v>0</v>
      </c>
    </row>
    <row r="51" spans="1:156" ht="92.25" x14ac:dyDescent="0.45">
      <c r="A51" s="33"/>
      <c r="B51" s="48"/>
      <c r="C51" s="134" t="s">
        <v>111</v>
      </c>
      <c r="D51" s="23" t="s">
        <v>18</v>
      </c>
      <c r="E51" s="46" t="s">
        <v>19</v>
      </c>
      <c r="F51" s="49" t="s">
        <v>26</v>
      </c>
      <c r="G51" s="576" t="s">
        <v>112</v>
      </c>
      <c r="H51" s="577"/>
      <c r="I51" s="578"/>
      <c r="J51" s="46">
        <v>35.5</v>
      </c>
      <c r="K51" s="46" t="s">
        <v>113</v>
      </c>
      <c r="L51" s="163" t="s">
        <v>114</v>
      </c>
      <c r="M51" s="164">
        <v>35.5</v>
      </c>
      <c r="N51" s="30">
        <f>-M51</f>
        <v>-35.5</v>
      </c>
      <c r="O51" s="31">
        <f>+J51-'[1]вересень (2)'!J45</f>
        <v>35.5</v>
      </c>
      <c r="P51" s="5"/>
      <c r="Q51" s="5" t="e">
        <f>+K51-'[1]вересень (2)'!K45</f>
        <v>#VALUE!</v>
      </c>
      <c r="R51" s="5"/>
      <c r="AE51" s="1">
        <f>+J51-'[1]26.06. +спорт+днз№15'!J51</f>
        <v>0</v>
      </c>
    </row>
    <row r="52" spans="1:156" ht="123" x14ac:dyDescent="0.45">
      <c r="A52" s="33"/>
      <c r="B52" s="48"/>
      <c r="C52" s="134" t="s">
        <v>115</v>
      </c>
      <c r="D52" s="23" t="s">
        <v>18</v>
      </c>
      <c r="E52" s="46" t="s">
        <v>19</v>
      </c>
      <c r="F52" s="49" t="s">
        <v>26</v>
      </c>
      <c r="G52" s="576" t="s">
        <v>112</v>
      </c>
      <c r="H52" s="577"/>
      <c r="I52" s="577"/>
      <c r="J52" s="577"/>
      <c r="K52" s="578"/>
      <c r="L52" s="165" t="s">
        <v>116</v>
      </c>
      <c r="M52" s="164"/>
      <c r="N52" s="30"/>
      <c r="O52" s="31">
        <f>+J52-'[1]вересень (2)'!J46</f>
        <v>0</v>
      </c>
      <c r="P52" s="5"/>
      <c r="Q52" s="5">
        <f>+K52-'[1]вересень (2)'!K46</f>
        <v>0</v>
      </c>
      <c r="R52" s="5"/>
      <c r="AE52" s="1">
        <f>+J52-'[1]26.06. +спорт+днз№15'!J52</f>
        <v>0</v>
      </c>
    </row>
    <row r="53" spans="1:156" ht="123" x14ac:dyDescent="0.45">
      <c r="A53" s="58"/>
      <c r="B53" s="48"/>
      <c r="C53" s="166" t="s">
        <v>117</v>
      </c>
      <c r="D53" s="132" t="s">
        <v>18</v>
      </c>
      <c r="E53" s="67" t="s">
        <v>19</v>
      </c>
      <c r="F53" s="65" t="s">
        <v>26</v>
      </c>
      <c r="G53" s="67">
        <v>960</v>
      </c>
      <c r="H53" s="67">
        <v>960</v>
      </c>
      <c r="I53" s="67">
        <v>960</v>
      </c>
      <c r="J53" s="67">
        <v>1898.4</v>
      </c>
      <c r="K53" s="67">
        <v>960</v>
      </c>
      <c r="L53" s="158" t="s">
        <v>118</v>
      </c>
      <c r="M53" s="30">
        <v>1898.4</v>
      </c>
      <c r="N53" s="30">
        <f>+J53-M53</f>
        <v>0</v>
      </c>
      <c r="O53" s="31">
        <f>+J53-'[1]вересень (2)'!J47</f>
        <v>938.40000000000009</v>
      </c>
      <c r="P53" s="5"/>
      <c r="Q53" s="5">
        <f>+K53-'[1]вересень (2)'!K47</f>
        <v>0</v>
      </c>
      <c r="R53" s="5"/>
      <c r="AE53" s="1">
        <f>+J53-'[1]26.06. +спорт+днз№15'!J53</f>
        <v>0</v>
      </c>
    </row>
    <row r="54" spans="1:156" ht="153.75" x14ac:dyDescent="0.45">
      <c r="A54" s="33"/>
      <c r="B54" s="59"/>
      <c r="C54" s="167" t="s">
        <v>119</v>
      </c>
      <c r="D54" s="66" t="s">
        <v>18</v>
      </c>
      <c r="E54" s="139" t="s">
        <v>19</v>
      </c>
      <c r="F54" s="140" t="s">
        <v>26</v>
      </c>
      <c r="G54" s="66">
        <v>6000</v>
      </c>
      <c r="H54" s="66">
        <v>5000</v>
      </c>
      <c r="I54" s="66">
        <v>6000</v>
      </c>
      <c r="J54" s="66">
        <v>5000</v>
      </c>
      <c r="K54" s="66">
        <v>6000</v>
      </c>
      <c r="L54" s="161" t="s">
        <v>120</v>
      </c>
      <c r="M54" s="30"/>
      <c r="N54" s="30"/>
      <c r="O54" s="31">
        <f>+J54-'[1]вересень (2)'!J48</f>
        <v>0</v>
      </c>
      <c r="P54" s="5"/>
      <c r="Q54" s="5">
        <f>+K54-'[1]вересень (2)'!K48</f>
        <v>0</v>
      </c>
      <c r="R54" s="5"/>
      <c r="AE54" s="1">
        <f>+J54-'[1]26.06. +спорт+днз№15'!J54</f>
        <v>0</v>
      </c>
    </row>
    <row r="55" spans="1:156" ht="153.75" x14ac:dyDescent="0.45">
      <c r="A55" s="33"/>
      <c r="B55" s="48"/>
      <c r="C55" s="168" t="s">
        <v>121</v>
      </c>
      <c r="D55" s="23" t="s">
        <v>18</v>
      </c>
      <c r="E55" s="24" t="s">
        <v>19</v>
      </c>
      <c r="F55" s="79" t="s">
        <v>26</v>
      </c>
      <c r="G55" s="26">
        <v>2000</v>
      </c>
      <c r="H55" s="26">
        <v>1800</v>
      </c>
      <c r="I55" s="26">
        <v>2000</v>
      </c>
      <c r="J55" s="26">
        <v>3000</v>
      </c>
      <c r="K55" s="26">
        <v>2000</v>
      </c>
      <c r="L55" s="169" t="s">
        <v>120</v>
      </c>
      <c r="M55" s="30"/>
      <c r="N55" s="30"/>
      <c r="O55" s="31">
        <f>+J55-'[1]вересень (2)'!J49</f>
        <v>0</v>
      </c>
      <c r="P55" s="5"/>
      <c r="Q55" s="5">
        <f>+K55-'[1]вересень (2)'!K49</f>
        <v>0</v>
      </c>
      <c r="R55" s="5"/>
      <c r="AE55" s="1">
        <f>+J55-'[1]26.06. +спорт+днз№15'!J55</f>
        <v>0</v>
      </c>
    </row>
    <row r="56" spans="1:156" ht="123.75" customHeight="1" x14ac:dyDescent="0.45">
      <c r="A56" s="124"/>
      <c r="B56" s="48"/>
      <c r="C56" s="49" t="s">
        <v>122</v>
      </c>
      <c r="D56" s="120" t="s">
        <v>18</v>
      </c>
      <c r="E56" s="46" t="s">
        <v>19</v>
      </c>
      <c r="F56" s="49" t="s">
        <v>26</v>
      </c>
      <c r="G56" s="38">
        <v>1000</v>
      </c>
      <c r="H56" s="38">
        <v>1000</v>
      </c>
      <c r="I56" s="38">
        <v>1000</v>
      </c>
      <c r="J56" s="38">
        <v>1000</v>
      </c>
      <c r="K56" s="38">
        <v>1000</v>
      </c>
      <c r="L56" s="40" t="s">
        <v>120</v>
      </c>
      <c r="M56" s="30"/>
      <c r="N56" s="30"/>
      <c r="O56" s="31">
        <f>+J56-'[1]вересень (2)'!J50</f>
        <v>0</v>
      </c>
      <c r="P56" s="5"/>
      <c r="Q56" s="5">
        <f>+K56-'[1]вересень (2)'!K50</f>
        <v>0</v>
      </c>
      <c r="R56" s="5"/>
      <c r="AE56" s="1">
        <f>+J56-'[1]26.06. +спорт+днз№15'!J56</f>
        <v>0</v>
      </c>
    </row>
    <row r="57" spans="1:156" ht="399.75" x14ac:dyDescent="0.45">
      <c r="A57" s="33"/>
      <c r="B57" s="59"/>
      <c r="C57" s="159" t="s">
        <v>123</v>
      </c>
      <c r="D57" s="67" t="s">
        <v>18</v>
      </c>
      <c r="E57" s="67" t="s">
        <v>19</v>
      </c>
      <c r="F57" s="65" t="s">
        <v>26</v>
      </c>
      <c r="G57" s="157">
        <v>131.30000000000001</v>
      </c>
      <c r="H57" s="157">
        <v>140</v>
      </c>
      <c r="I57" s="157">
        <v>150</v>
      </c>
      <c r="J57" s="157">
        <v>280.7</v>
      </c>
      <c r="K57" s="157">
        <v>180</v>
      </c>
      <c r="L57" s="145" t="s">
        <v>124</v>
      </c>
      <c r="M57" s="30">
        <v>280.7</v>
      </c>
      <c r="N57" s="30">
        <f>+J57-M57</f>
        <v>0</v>
      </c>
      <c r="O57" s="31">
        <f>+J57-'[1]вересень (2)'!J51</f>
        <v>115.69999999999999</v>
      </c>
      <c r="P57" s="5"/>
      <c r="Q57" s="5">
        <f>+K57-'[1]вересень (2)'!K51</f>
        <v>0</v>
      </c>
      <c r="R57" s="5"/>
      <c r="AE57" s="1">
        <f>+J57-'[1]26.06. +спорт+днз№15'!J57</f>
        <v>0</v>
      </c>
    </row>
    <row r="58" spans="1:156" ht="123" x14ac:dyDescent="0.45">
      <c r="A58" s="33"/>
      <c r="B58" s="48"/>
      <c r="C58" s="159" t="s">
        <v>125</v>
      </c>
      <c r="D58" s="66" t="s">
        <v>18</v>
      </c>
      <c r="E58" s="67" t="s">
        <v>19</v>
      </c>
      <c r="F58" s="65" t="s">
        <v>26</v>
      </c>
      <c r="G58" s="170">
        <v>330.3</v>
      </c>
      <c r="H58" s="170">
        <v>330.3</v>
      </c>
      <c r="I58" s="170">
        <v>330.3</v>
      </c>
      <c r="J58" s="170">
        <v>945</v>
      </c>
      <c r="K58" s="170">
        <v>330.3</v>
      </c>
      <c r="L58" s="171" t="s">
        <v>126</v>
      </c>
      <c r="M58" s="30">
        <f>337.5+607.5</f>
        <v>945</v>
      </c>
      <c r="N58" s="30">
        <f>+J58-M58</f>
        <v>0</v>
      </c>
      <c r="O58" s="31">
        <f>+J58-'[1]вересень (2)'!J52</f>
        <v>614.70000000000005</v>
      </c>
      <c r="P58" s="5"/>
      <c r="Q58" s="5">
        <f>+K58-'[1]вересень (2)'!K52</f>
        <v>0</v>
      </c>
      <c r="R58" s="5"/>
      <c r="AE58" s="1">
        <f>+J58-'[1]26.06. +спорт+днз№15'!J58</f>
        <v>0</v>
      </c>
    </row>
    <row r="59" spans="1:156" ht="92.25" x14ac:dyDescent="0.45">
      <c r="A59" s="124"/>
      <c r="B59" s="48"/>
      <c r="C59" s="49" t="s">
        <v>127</v>
      </c>
      <c r="D59" s="120" t="s">
        <v>18</v>
      </c>
      <c r="E59" s="121" t="s">
        <v>19</v>
      </c>
      <c r="F59" s="172" t="s">
        <v>26</v>
      </c>
      <c r="G59" s="601" t="s">
        <v>128</v>
      </c>
      <c r="H59" s="602"/>
      <c r="I59" s="602"/>
      <c r="J59" s="602"/>
      <c r="K59" s="603"/>
      <c r="L59" s="155" t="s">
        <v>129</v>
      </c>
      <c r="M59" s="30"/>
      <c r="N59" s="30"/>
      <c r="O59" s="31">
        <f>+J59-'[1]вересень (2)'!J53</f>
        <v>0</v>
      </c>
      <c r="P59" s="5"/>
      <c r="Q59" s="5">
        <f>+K59-'[1]вересень (2)'!K53</f>
        <v>0</v>
      </c>
      <c r="R59" s="5"/>
      <c r="AE59" s="1">
        <f>+J59-'[1]26.06. +спорт+днз№15'!J59</f>
        <v>0</v>
      </c>
    </row>
    <row r="60" spans="1:156" ht="115.5" customHeight="1" x14ac:dyDescent="0.45">
      <c r="A60" s="173"/>
      <c r="B60" s="48"/>
      <c r="C60" s="49" t="s">
        <v>130</v>
      </c>
      <c r="D60" s="46" t="s">
        <v>13</v>
      </c>
      <c r="E60" s="121" t="s">
        <v>19</v>
      </c>
      <c r="F60" s="65" t="s">
        <v>26</v>
      </c>
      <c r="G60" s="174">
        <v>0</v>
      </c>
      <c r="H60" s="51">
        <v>0</v>
      </c>
      <c r="I60" s="51">
        <v>0</v>
      </c>
      <c r="J60" s="51">
        <v>14405.9</v>
      </c>
      <c r="K60" s="51">
        <v>0</v>
      </c>
      <c r="L60" s="175" t="s">
        <v>131</v>
      </c>
      <c r="M60" s="30"/>
      <c r="N60" s="30"/>
      <c r="O60" s="31"/>
      <c r="P60" s="5"/>
      <c r="Q60" s="5"/>
      <c r="R60" s="5"/>
      <c r="AE60" s="1">
        <f>+J60-'[1]26.06. +спорт+днз№15'!J60</f>
        <v>0</v>
      </c>
    </row>
    <row r="61" spans="1:156" ht="369.75" customHeight="1" x14ac:dyDescent="0.45">
      <c r="A61" s="604"/>
      <c r="B61" s="48" t="s">
        <v>132</v>
      </c>
      <c r="C61" s="49" t="s">
        <v>133</v>
      </c>
      <c r="D61" s="49" t="s">
        <v>18</v>
      </c>
      <c r="E61" s="174" t="s">
        <v>19</v>
      </c>
      <c r="F61" s="49" t="s">
        <v>26</v>
      </c>
      <c r="G61" s="37">
        <v>2000</v>
      </c>
      <c r="H61" s="37">
        <v>1500</v>
      </c>
      <c r="I61" s="37">
        <v>1500</v>
      </c>
      <c r="J61" s="37">
        <v>2000</v>
      </c>
      <c r="K61" s="37">
        <v>1500</v>
      </c>
      <c r="L61" s="112" t="s">
        <v>134</v>
      </c>
      <c r="M61" s="113"/>
      <c r="N61" s="30"/>
      <c r="O61" s="31">
        <f>+J61-'[1]вересень (2)'!J54</f>
        <v>0</v>
      </c>
      <c r="P61" s="5"/>
      <c r="Q61" s="5">
        <f>+K61-'[1]вересень (2)'!K54</f>
        <v>0</v>
      </c>
      <c r="R61" s="5"/>
      <c r="AE61" s="1">
        <f>+J61-'[1]26.06. +спорт+днз№15'!J61</f>
        <v>0</v>
      </c>
    </row>
    <row r="62" spans="1:156" ht="276.75" x14ac:dyDescent="0.45">
      <c r="A62" s="579"/>
      <c r="B62" s="59"/>
      <c r="C62" s="167" t="s">
        <v>135</v>
      </c>
      <c r="D62" s="66" t="s">
        <v>18</v>
      </c>
      <c r="E62" s="127" t="s">
        <v>19</v>
      </c>
      <c r="F62" s="128" t="s">
        <v>26</v>
      </c>
      <c r="G62" s="176">
        <v>1500</v>
      </c>
      <c r="H62" s="176">
        <v>1500</v>
      </c>
      <c r="I62" s="176">
        <v>1500</v>
      </c>
      <c r="J62" s="176">
        <v>1500</v>
      </c>
      <c r="K62" s="176">
        <v>1500</v>
      </c>
      <c r="L62" s="177" t="s">
        <v>136</v>
      </c>
      <c r="M62" s="113"/>
      <c r="N62" s="30"/>
      <c r="O62" s="31">
        <f>+J62-'[1]вересень (2)'!J55</f>
        <v>0</v>
      </c>
      <c r="P62" s="5"/>
      <c r="Q62" s="5">
        <f>+K62-'[1]вересень (2)'!K55</f>
        <v>0</v>
      </c>
      <c r="R62" s="5"/>
      <c r="AE62" s="1">
        <f>+J62-'[1]26.06. +спорт+днз№15'!J62</f>
        <v>0</v>
      </c>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row>
    <row r="63" spans="1:156" ht="123" x14ac:dyDescent="0.45">
      <c r="A63" s="178"/>
      <c r="B63" s="179"/>
      <c r="C63" s="92" t="s">
        <v>137</v>
      </c>
      <c r="D63" s="132" t="s">
        <v>18</v>
      </c>
      <c r="E63" s="46" t="s">
        <v>19</v>
      </c>
      <c r="F63" s="49" t="s">
        <v>26</v>
      </c>
      <c r="G63" s="180">
        <v>1700</v>
      </c>
      <c r="H63" s="154">
        <v>1700</v>
      </c>
      <c r="I63" s="154">
        <v>1700</v>
      </c>
      <c r="J63" s="154">
        <v>1000</v>
      </c>
      <c r="K63" s="154">
        <v>1000</v>
      </c>
      <c r="L63" s="181" t="s">
        <v>138</v>
      </c>
      <c r="M63" s="72"/>
      <c r="N63" s="30"/>
      <c r="O63" s="31">
        <f>+J63-'[1]вересень (2)'!J56</f>
        <v>0</v>
      </c>
      <c r="P63" s="5"/>
      <c r="Q63" s="5">
        <f>+K63-'[1]вересень (2)'!K56</f>
        <v>0</v>
      </c>
      <c r="R63" s="5"/>
      <c r="AE63" s="1">
        <f>+J63-'[1]26.06. +спорт+днз№15'!J63</f>
        <v>0</v>
      </c>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row>
    <row r="64" spans="1:156" s="183" customFormat="1" ht="381" customHeight="1" x14ac:dyDescent="0.45">
      <c r="A64" s="590"/>
      <c r="B64" s="34" t="s">
        <v>139</v>
      </c>
      <c r="C64" s="65" t="s">
        <v>140</v>
      </c>
      <c r="D64" s="66" t="s">
        <v>18</v>
      </c>
      <c r="E64" s="67" t="s">
        <v>19</v>
      </c>
      <c r="F64" s="65" t="s">
        <v>67</v>
      </c>
      <c r="G64" s="157">
        <v>0</v>
      </c>
      <c r="H64" s="157">
        <v>0</v>
      </c>
      <c r="I64" s="157">
        <v>0</v>
      </c>
      <c r="J64" s="157">
        <v>0</v>
      </c>
      <c r="K64" s="157">
        <v>0</v>
      </c>
      <c r="L64" s="177" t="s">
        <v>141</v>
      </c>
      <c r="M64" s="113"/>
      <c r="N64" s="30"/>
      <c r="O64" s="31">
        <f>+J64-'[1]вересень (2)'!J57</f>
        <v>0</v>
      </c>
      <c r="P64" s="5"/>
      <c r="Q64" s="5">
        <f>+K64-'[1]вересень (2)'!K57</f>
        <v>0</v>
      </c>
      <c r="R64" s="5"/>
      <c r="S64" s="1"/>
      <c r="T64" s="1"/>
      <c r="U64" s="1"/>
      <c r="V64" s="5"/>
      <c r="W64" s="5"/>
      <c r="X64" s="5"/>
      <c r="Y64" s="5"/>
      <c r="Z64" s="5"/>
      <c r="AA64" s="5"/>
      <c r="AB64" s="5"/>
      <c r="AC64" s="5"/>
      <c r="AD64" s="5"/>
      <c r="AE64" s="1">
        <f>+J64-'[1]26.06. +спорт+днз№15'!J64</f>
        <v>0</v>
      </c>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182"/>
    </row>
    <row r="65" spans="1:156" s="183" customFormat="1" ht="307.5" x14ac:dyDescent="0.45">
      <c r="A65" s="590"/>
      <c r="B65" s="48"/>
      <c r="C65" s="184" t="s">
        <v>142</v>
      </c>
      <c r="D65" s="23" t="s">
        <v>18</v>
      </c>
      <c r="E65" s="116" t="s">
        <v>19</v>
      </c>
      <c r="F65" s="117" t="s">
        <v>67</v>
      </c>
      <c r="G65" s="149">
        <v>0</v>
      </c>
      <c r="H65" s="149">
        <v>0</v>
      </c>
      <c r="I65" s="149">
        <v>0</v>
      </c>
      <c r="J65" s="149">
        <v>0</v>
      </c>
      <c r="K65" s="149">
        <v>0</v>
      </c>
      <c r="L65" s="185" t="s">
        <v>143</v>
      </c>
      <c r="M65" s="113"/>
      <c r="N65" s="30"/>
      <c r="O65" s="31">
        <f>+J65-'[1]вересень (2)'!J58</f>
        <v>0</v>
      </c>
      <c r="P65" s="5"/>
      <c r="Q65" s="5">
        <f>+K65-'[1]вересень (2)'!K58</f>
        <v>0</v>
      </c>
      <c r="R65" s="5"/>
      <c r="S65" s="1"/>
      <c r="T65" s="1"/>
      <c r="U65" s="1"/>
      <c r="V65" s="5"/>
      <c r="W65" s="5"/>
      <c r="X65" s="5"/>
      <c r="Y65" s="5"/>
      <c r="Z65" s="5"/>
      <c r="AA65" s="5"/>
      <c r="AB65" s="5"/>
      <c r="AC65" s="5"/>
      <c r="AD65" s="5"/>
      <c r="AE65" s="1">
        <f>+J65-'[1]26.06. +спорт+днз№15'!J65</f>
        <v>0</v>
      </c>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182"/>
    </row>
    <row r="66" spans="1:156" s="183" customFormat="1" ht="121.5" customHeight="1" x14ac:dyDescent="0.45">
      <c r="A66" s="590"/>
      <c r="B66" s="48"/>
      <c r="C66" s="186" t="s">
        <v>144</v>
      </c>
      <c r="D66" s="132" t="s">
        <v>18</v>
      </c>
      <c r="E66" s="132" t="s">
        <v>19</v>
      </c>
      <c r="F66" s="153" t="s">
        <v>67</v>
      </c>
      <c r="G66" s="154">
        <v>0</v>
      </c>
      <c r="H66" s="154">
        <v>0</v>
      </c>
      <c r="I66" s="154">
        <v>0</v>
      </c>
      <c r="J66" s="154">
        <v>0</v>
      </c>
      <c r="K66" s="187">
        <v>0</v>
      </c>
      <c r="L66" s="188" t="s">
        <v>145</v>
      </c>
      <c r="M66" s="189"/>
      <c r="N66" s="30"/>
      <c r="O66" s="31">
        <f>+J66-'[1]вересень (2)'!J59</f>
        <v>0</v>
      </c>
      <c r="P66" s="5"/>
      <c r="Q66" s="5">
        <f>+K66-'[1]вересень (2)'!K59</f>
        <v>0</v>
      </c>
      <c r="R66" s="5"/>
      <c r="S66" s="1"/>
      <c r="T66" s="1"/>
      <c r="U66" s="1"/>
      <c r="V66" s="5"/>
      <c r="W66" s="5"/>
      <c r="X66" s="5"/>
      <c r="Y66" s="5"/>
      <c r="Z66" s="5"/>
      <c r="AA66" s="5"/>
      <c r="AB66" s="5"/>
      <c r="AC66" s="5"/>
      <c r="AD66" s="5"/>
      <c r="AE66" s="1">
        <f>+J66-'[1]26.06. +спорт+днз№15'!J66</f>
        <v>0</v>
      </c>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5"/>
      <c r="EA66" s="5"/>
      <c r="EB66" s="5"/>
      <c r="EC66" s="5"/>
      <c r="ED66" s="5"/>
      <c r="EE66" s="5"/>
      <c r="EF66" s="5"/>
      <c r="EG66" s="5"/>
      <c r="EH66" s="5"/>
      <c r="EI66" s="5"/>
      <c r="EJ66" s="5"/>
      <c r="EK66" s="5"/>
      <c r="EL66" s="5"/>
      <c r="EM66" s="5"/>
      <c r="EN66" s="5"/>
      <c r="EO66" s="5"/>
      <c r="EP66" s="5"/>
      <c r="EQ66" s="5"/>
      <c r="ER66" s="5"/>
      <c r="ES66" s="5"/>
      <c r="ET66" s="5"/>
      <c r="EU66" s="5"/>
      <c r="EV66" s="5"/>
      <c r="EW66" s="5"/>
      <c r="EX66" s="5"/>
      <c r="EY66" s="5"/>
      <c r="EZ66" s="182"/>
    </row>
    <row r="67" spans="1:156" ht="186.75" customHeight="1" x14ac:dyDescent="0.45">
      <c r="A67" s="590"/>
      <c r="B67" s="48"/>
      <c r="C67" s="184" t="s">
        <v>146</v>
      </c>
      <c r="D67" s="190" t="s">
        <v>18</v>
      </c>
      <c r="E67" s="116" t="s">
        <v>19</v>
      </c>
      <c r="F67" s="117" t="s">
        <v>67</v>
      </c>
      <c r="G67" s="149">
        <v>0</v>
      </c>
      <c r="H67" s="149">
        <v>0</v>
      </c>
      <c r="I67" s="149">
        <v>0</v>
      </c>
      <c r="J67" s="149">
        <v>0</v>
      </c>
      <c r="K67" s="149">
        <v>0</v>
      </c>
      <c r="L67" s="591" t="s">
        <v>147</v>
      </c>
      <c r="M67" s="113"/>
      <c r="N67" s="30"/>
      <c r="O67" s="31">
        <f>+J67-'[1]вересень (2)'!J60</f>
        <v>0</v>
      </c>
      <c r="P67" s="5"/>
      <c r="Q67" s="5">
        <f>+K67-'[1]вересень (2)'!K60</f>
        <v>0</v>
      </c>
      <c r="R67" s="5"/>
      <c r="V67" s="5"/>
      <c r="W67" s="5"/>
      <c r="X67" s="5"/>
      <c r="Y67" s="5"/>
      <c r="Z67" s="5"/>
      <c r="AA67" s="5"/>
      <c r="AB67" s="5"/>
      <c r="AC67" s="5"/>
      <c r="AD67" s="5"/>
      <c r="AE67" s="1">
        <f>+J67-'[1]26.06. +спорт+днз№15'!J67</f>
        <v>0</v>
      </c>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row>
    <row r="68" spans="1:156" ht="151.5" customHeight="1" x14ac:dyDescent="0.45">
      <c r="A68" s="191"/>
      <c r="B68" s="48"/>
      <c r="C68" s="192" t="s">
        <v>148</v>
      </c>
      <c r="D68" s="132" t="s">
        <v>18</v>
      </c>
      <c r="E68" s="132" t="s">
        <v>19</v>
      </c>
      <c r="F68" s="92" t="s">
        <v>67</v>
      </c>
      <c r="G68" s="193">
        <v>0</v>
      </c>
      <c r="H68" s="193">
        <v>0</v>
      </c>
      <c r="I68" s="193">
        <v>0</v>
      </c>
      <c r="J68" s="193">
        <v>0</v>
      </c>
      <c r="K68" s="193">
        <v>0</v>
      </c>
      <c r="L68" s="592"/>
      <c r="M68" s="113"/>
      <c r="N68" s="30"/>
      <c r="O68" s="31">
        <f>+J68-'[1]вересень (2)'!J61</f>
        <v>0</v>
      </c>
      <c r="P68" s="5"/>
      <c r="Q68" s="5">
        <f>+K68-'[1]вересень (2)'!K61</f>
        <v>0</v>
      </c>
      <c r="R68" s="5"/>
      <c r="V68" s="5"/>
      <c r="W68" s="5"/>
      <c r="X68" s="5"/>
      <c r="Y68" s="5"/>
      <c r="Z68" s="5"/>
      <c r="AA68" s="5"/>
      <c r="AB68" s="5"/>
      <c r="AC68" s="5"/>
      <c r="AD68" s="5"/>
      <c r="AE68" s="1">
        <f>+J68-'[1]26.06. +спорт+днз№15'!J68</f>
        <v>0</v>
      </c>
    </row>
    <row r="69" spans="1:156" ht="172.5" hidden="1" customHeight="1" x14ac:dyDescent="0.45">
      <c r="A69" s="194"/>
      <c r="B69" s="5"/>
      <c r="C69" s="5"/>
      <c r="D69" s="5"/>
      <c r="E69" s="5"/>
      <c r="F69" s="5"/>
      <c r="G69" s="5"/>
      <c r="H69" s="5"/>
      <c r="I69" s="5"/>
      <c r="J69" s="5"/>
      <c r="K69" s="5"/>
      <c r="L69" s="195"/>
      <c r="M69" s="5"/>
      <c r="N69" s="30"/>
      <c r="O69" s="31">
        <f>+J69-'[1]вересень (2)'!J62</f>
        <v>0</v>
      </c>
      <c r="P69" s="5"/>
      <c r="Q69" s="5">
        <f>+K69-'[1]вересень (2)'!K62</f>
        <v>0</v>
      </c>
      <c r="R69" s="5"/>
      <c r="AE69" s="1">
        <f>+J69-'[1]26.06. +спорт+днз№15'!J69</f>
        <v>0</v>
      </c>
    </row>
    <row r="70" spans="1:156" ht="172.5" hidden="1" customHeight="1" x14ac:dyDescent="0.45">
      <c r="A70" s="194"/>
      <c r="B70" s="5"/>
      <c r="C70" s="5"/>
      <c r="D70" s="5"/>
      <c r="E70" s="5"/>
      <c r="F70" s="5"/>
      <c r="G70" s="5"/>
      <c r="H70" s="5"/>
      <c r="I70" s="5"/>
      <c r="J70" s="5"/>
      <c r="K70" s="5"/>
      <c r="L70" s="195"/>
      <c r="M70" s="5"/>
      <c r="N70" s="30"/>
      <c r="O70" s="31">
        <f>+J70-'[1]вересень (2)'!J63</f>
        <v>0</v>
      </c>
      <c r="P70" s="5"/>
      <c r="Q70" s="5">
        <f>+K70-'[1]вересень (2)'!K63</f>
        <v>0</v>
      </c>
      <c r="R70" s="5"/>
      <c r="AE70" s="1">
        <f>+J70-'[1]26.06. +спорт+днз№15'!J70</f>
        <v>0</v>
      </c>
    </row>
    <row r="71" spans="1:156" ht="172.5" hidden="1" customHeight="1" x14ac:dyDescent="0.45">
      <c r="A71" s="194"/>
      <c r="B71" s="5"/>
      <c r="C71" s="5"/>
      <c r="D71" s="5"/>
      <c r="E71" s="5"/>
      <c r="F71" s="5"/>
      <c r="G71" s="5"/>
      <c r="H71" s="5"/>
      <c r="I71" s="5"/>
      <c r="J71" s="5"/>
      <c r="K71" s="5"/>
      <c r="L71" s="195"/>
      <c r="M71" s="5"/>
      <c r="N71" s="30"/>
      <c r="O71" s="31">
        <f>+J71-'[1]вересень (2)'!J64</f>
        <v>0</v>
      </c>
      <c r="P71" s="5"/>
      <c r="Q71" s="5">
        <f>+K71-'[1]вересень (2)'!K64</f>
        <v>0</v>
      </c>
      <c r="R71" s="5"/>
      <c r="AE71" s="1">
        <f>+J71-'[1]26.06. +спорт+днз№15'!J71</f>
        <v>0</v>
      </c>
    </row>
    <row r="72" spans="1:156" ht="274.5" customHeight="1" x14ac:dyDescent="0.45">
      <c r="A72" s="196"/>
      <c r="B72" s="46" t="s">
        <v>149</v>
      </c>
      <c r="C72" s="197" t="s">
        <v>150</v>
      </c>
      <c r="D72" s="132" t="s">
        <v>18</v>
      </c>
      <c r="E72" s="121" t="s">
        <v>19</v>
      </c>
      <c r="F72" s="172" t="s">
        <v>67</v>
      </c>
      <c r="G72" s="198">
        <v>0</v>
      </c>
      <c r="H72" s="198">
        <v>0</v>
      </c>
      <c r="I72" s="198">
        <v>0</v>
      </c>
      <c r="J72" s="198">
        <v>0</v>
      </c>
      <c r="K72" s="198">
        <v>0</v>
      </c>
      <c r="L72" s="199" t="s">
        <v>151</v>
      </c>
      <c r="M72" s="123"/>
      <c r="N72" s="30"/>
      <c r="O72" s="31">
        <f>+J72-'[1]вересень (2)'!J65</f>
        <v>0</v>
      </c>
      <c r="P72" s="5"/>
      <c r="Q72" s="5">
        <f>+K72-'[1]вересень (2)'!K65</f>
        <v>0</v>
      </c>
      <c r="R72" s="5"/>
      <c r="AE72" s="1">
        <f>+J72-'[1]26.06. +спорт+днз№15'!J72</f>
        <v>0</v>
      </c>
    </row>
    <row r="73" spans="1:156" ht="396" customHeight="1" x14ac:dyDescent="0.45">
      <c r="A73" s="196"/>
      <c r="B73" s="60"/>
      <c r="C73" s="156" t="s">
        <v>152</v>
      </c>
      <c r="D73" s="67" t="s">
        <v>18</v>
      </c>
      <c r="E73" s="67" t="s">
        <v>19</v>
      </c>
      <c r="F73" s="65" t="s">
        <v>67</v>
      </c>
      <c r="G73" s="157">
        <v>0</v>
      </c>
      <c r="H73" s="157">
        <v>0</v>
      </c>
      <c r="I73" s="157">
        <v>0</v>
      </c>
      <c r="J73" s="157">
        <v>0</v>
      </c>
      <c r="K73" s="157">
        <v>0</v>
      </c>
      <c r="L73" s="158" t="s">
        <v>153</v>
      </c>
      <c r="M73" s="30"/>
      <c r="N73" s="30"/>
      <c r="O73" s="31">
        <f>+J73-'[1]вересень (2)'!J66</f>
        <v>0</v>
      </c>
      <c r="P73" s="5"/>
      <c r="Q73" s="5">
        <f>+K73-'[1]вересень (2)'!K66</f>
        <v>0</v>
      </c>
      <c r="R73" s="5"/>
      <c r="AE73" s="1">
        <f>+J73-'[1]26.06. +спорт+днз№15'!J73</f>
        <v>0</v>
      </c>
    </row>
    <row r="74" spans="1:156" ht="219.75" customHeight="1" x14ac:dyDescent="0.45">
      <c r="A74" s="200"/>
      <c r="B74" s="46" t="s">
        <v>154</v>
      </c>
      <c r="C74" s="201" t="s">
        <v>155</v>
      </c>
      <c r="D74" s="132" t="s">
        <v>156</v>
      </c>
      <c r="E74" s="67" t="s">
        <v>19</v>
      </c>
      <c r="F74" s="49" t="s">
        <v>26</v>
      </c>
      <c r="G74" s="157">
        <v>0</v>
      </c>
      <c r="H74" s="157">
        <v>0</v>
      </c>
      <c r="I74" s="157">
        <v>516.79999999999995</v>
      </c>
      <c r="J74" s="35">
        <v>345</v>
      </c>
      <c r="K74" s="35" t="s">
        <v>157</v>
      </c>
      <c r="L74" s="52" t="s">
        <v>158</v>
      </c>
      <c r="M74" s="30">
        <v>345</v>
      </c>
      <c r="N74" s="30">
        <f>-M74</f>
        <v>-345</v>
      </c>
      <c r="O74" s="31">
        <v>345</v>
      </c>
      <c r="P74" s="5"/>
      <c r="Q74" s="5" t="e">
        <f>+K74-'[1]вересень (2)'!K67</f>
        <v>#VALUE!</v>
      </c>
      <c r="R74" s="5"/>
      <c r="AE74" s="1">
        <f>+J74-'[1]26.06. +спорт+днз№15'!J74</f>
        <v>0</v>
      </c>
    </row>
    <row r="75" spans="1:156" ht="45" customHeight="1" x14ac:dyDescent="0.45">
      <c r="A75" s="202"/>
      <c r="B75" s="203"/>
      <c r="C75" s="204" t="s">
        <v>63</v>
      </c>
      <c r="D75" s="67"/>
      <c r="E75" s="67"/>
      <c r="F75" s="205"/>
      <c r="G75" s="206">
        <f>G31+G32+G33+G34+G37+G38+G39+G40+G41+G42+G43+G44+G45+G46+G47+G48+G49+G50+G53+G54+G55+G56+G57+G58+G61+G62+G63+G64+G65+G66+G67+G68+G72+G73+G36+G74</f>
        <v>104667.80000000002</v>
      </c>
      <c r="H75" s="206">
        <f>H31+H32+H33+H34+H37+H38+H39+H40+H41+H42+H43+H44+H45+H46+H47+H48+H49+H50+H53+H54+H55+H56+H57+H58+H61+H62+H63+H64+H65+H66+H67+H68+H72+H73+H36+H74</f>
        <v>98028.400000000023</v>
      </c>
      <c r="I75" s="206">
        <f>I31+I32+I33+I34+I37+I38+I39+I40+I41+I42+I43+I44+I45+I46+I47+I48+I49+I50+I53+I54+I55+I56+I57+I58+I61+I62+I63+I64+I65+I66+I67+I68+I72+I73+I36+I74</f>
        <v>99641.8</v>
      </c>
      <c r="J75" s="206">
        <f>J31+J32+J33+J34+J37+J38+J39+J40+J41+J42+J43+J44+J45+J46+J47+J48+J49+J50+J53+J54+J55+J56+J57+J58+J61+J62+J63+J64+J65+J66+J67+J68+J72+J73+J36+J74+J51+J60</f>
        <v>122189.79999999999</v>
      </c>
      <c r="K75" s="206">
        <f>K31+K32+K33+K34+K37+K38+K39+K40+K41+K42+K43+K44+K45+K46+K47+K48+K49+K50+K53+K54+K55+K56+K57+K58+K61+K62+K63+K64+K65+K66+K67+K68+K72+K73+K36</f>
        <v>111651.3</v>
      </c>
      <c r="L75" s="181"/>
      <c r="M75" s="72"/>
      <c r="N75" s="106"/>
      <c r="O75" s="31"/>
      <c r="P75" s="5"/>
      <c r="Q75" s="5">
        <f>+K75-'[1]вересень (2)'!K68</f>
        <v>0</v>
      </c>
      <c r="R75" s="5"/>
      <c r="AE75" s="207">
        <f>+J75-'[1]26.06. +спорт+днз№15'!J75</f>
        <v>58.599999999991269</v>
      </c>
    </row>
    <row r="76" spans="1:156" ht="51" customHeight="1" x14ac:dyDescent="0.45">
      <c r="A76" s="208"/>
      <c r="B76" s="593" t="s">
        <v>159</v>
      </c>
      <c r="C76" s="594"/>
      <c r="D76" s="594"/>
      <c r="E76" s="594"/>
      <c r="F76" s="594"/>
      <c r="G76" s="594"/>
      <c r="H76" s="594"/>
      <c r="I76" s="594"/>
      <c r="J76" s="594"/>
      <c r="K76" s="594"/>
      <c r="L76" s="595"/>
      <c r="M76" s="209"/>
      <c r="N76" s="210"/>
      <c r="O76" s="31">
        <f>+J76-'[1]вересень (2)'!J69</f>
        <v>0</v>
      </c>
      <c r="P76" s="5"/>
      <c r="Q76" s="5">
        <f>+K76-'[1]вересень (2)'!K69</f>
        <v>0</v>
      </c>
      <c r="R76" s="5"/>
      <c r="AE76" s="1">
        <f>+J76-'[1]26.06. +спорт+днз№15'!J76</f>
        <v>0</v>
      </c>
    </row>
    <row r="77" spans="1:156" ht="155.25" customHeight="1" x14ac:dyDescent="0.45">
      <c r="A77" s="83">
        <v>3</v>
      </c>
      <c r="B77" s="48" t="s">
        <v>160</v>
      </c>
      <c r="C77" s="46" t="s">
        <v>161</v>
      </c>
      <c r="D77" s="174" t="s">
        <v>18</v>
      </c>
      <c r="E77" s="46" t="s">
        <v>19</v>
      </c>
      <c r="F77" s="49" t="s">
        <v>162</v>
      </c>
      <c r="G77" s="46">
        <f>45304.9+36290.8</f>
        <v>81595.700000000012</v>
      </c>
      <c r="H77" s="46">
        <f>47706.1+38214.2</f>
        <v>85920.299999999988</v>
      </c>
      <c r="I77" s="46">
        <f>50091.4+40124.9</f>
        <v>90216.3</v>
      </c>
      <c r="J77" s="46">
        <f>110877.6+27042.7</f>
        <v>137920.30000000002</v>
      </c>
      <c r="K77" s="46">
        <v>109162</v>
      </c>
      <c r="L77" s="40" t="s">
        <v>163</v>
      </c>
      <c r="M77" s="30">
        <f>63575.2+47302.4</f>
        <v>110877.6</v>
      </c>
      <c r="N77" s="30">
        <f>+J77-M77</f>
        <v>27042.700000000012</v>
      </c>
      <c r="O77" s="31">
        <f>+J77-'[1]вересень (2)'!J70</f>
        <v>38682.300000000017</v>
      </c>
      <c r="P77" s="32"/>
      <c r="Q77" s="5">
        <f>+K77-'[1]вересень (2)'!K70</f>
        <v>0</v>
      </c>
      <c r="R77" s="5"/>
      <c r="AE77" s="1">
        <f>+J77-'[1]26.06. +спорт+днз№15'!J77</f>
        <v>27042.700000000012</v>
      </c>
    </row>
    <row r="78" spans="1:156" ht="102" customHeight="1" x14ac:dyDescent="0.45">
      <c r="A78" s="211"/>
      <c r="B78" s="48"/>
      <c r="C78" s="549" t="s">
        <v>164</v>
      </c>
      <c r="D78" s="46" t="s">
        <v>18</v>
      </c>
      <c r="E78" s="46" t="s">
        <v>19</v>
      </c>
      <c r="F78" s="49" t="s">
        <v>165</v>
      </c>
      <c r="G78" s="46">
        <v>2633.2</v>
      </c>
      <c r="H78" s="46">
        <v>4445.1000000000004</v>
      </c>
      <c r="I78" s="46">
        <v>6479.4</v>
      </c>
      <c r="J78" s="46">
        <v>8217.5</v>
      </c>
      <c r="K78" s="46">
        <v>3523</v>
      </c>
      <c r="L78" s="40" t="s">
        <v>166</v>
      </c>
      <c r="M78" s="30"/>
      <c r="N78" s="30"/>
      <c r="O78" s="31">
        <f>+J78-'[1]вересень (2)'!J71</f>
        <v>5014.5</v>
      </c>
      <c r="P78" s="5"/>
      <c r="Q78" s="5">
        <f>+K78-'[1]вересень (2)'!K71</f>
        <v>0</v>
      </c>
      <c r="R78" s="5"/>
      <c r="AE78" s="1">
        <f>+J78-'[1]26.06. +спорт+днз№15'!J78</f>
        <v>0</v>
      </c>
    </row>
    <row r="79" spans="1:156" ht="184.5" x14ac:dyDescent="0.45">
      <c r="A79" s="212"/>
      <c r="B79" s="59" t="s">
        <v>167</v>
      </c>
      <c r="C79" s="213" t="s">
        <v>168</v>
      </c>
      <c r="D79" s="60" t="s">
        <v>18</v>
      </c>
      <c r="E79" s="60" t="s">
        <v>19</v>
      </c>
      <c r="F79" s="213" t="s">
        <v>169</v>
      </c>
      <c r="G79" s="214">
        <v>7611.5</v>
      </c>
      <c r="H79" s="170">
        <v>3000</v>
      </c>
      <c r="I79" s="170">
        <v>3000</v>
      </c>
      <c r="J79" s="170">
        <v>3000</v>
      </c>
      <c r="K79" s="215">
        <v>3000</v>
      </c>
      <c r="L79" s="61" t="s">
        <v>170</v>
      </c>
      <c r="M79" s="72"/>
      <c r="N79" s="30"/>
      <c r="O79" s="31">
        <f>+J79-'[1]вересень (2)'!J72</f>
        <v>0</v>
      </c>
      <c r="P79" s="5"/>
      <c r="Q79" s="5">
        <f>+K79-'[1]вересень (2)'!K72</f>
        <v>0</v>
      </c>
      <c r="R79" s="5"/>
      <c r="AE79" s="1">
        <f>+J79-'[1]26.06. +спорт+днз№15'!J79</f>
        <v>0</v>
      </c>
    </row>
    <row r="80" spans="1:156" ht="153.75" x14ac:dyDescent="0.45">
      <c r="A80" s="212"/>
      <c r="B80" s="216"/>
      <c r="C80" s="49" t="s">
        <v>171</v>
      </c>
      <c r="D80" s="46" t="s">
        <v>18</v>
      </c>
      <c r="E80" s="46" t="s">
        <v>19</v>
      </c>
      <c r="F80" s="49" t="s">
        <v>26</v>
      </c>
      <c r="G80" s="217">
        <v>5031</v>
      </c>
      <c r="H80" s="38">
        <v>0</v>
      </c>
      <c r="I80" s="38">
        <v>0</v>
      </c>
      <c r="J80" s="38">
        <v>0</v>
      </c>
      <c r="K80" s="217">
        <v>0</v>
      </c>
      <c r="L80" s="52" t="s">
        <v>172</v>
      </c>
      <c r="M80" s="72"/>
      <c r="N80" s="30"/>
      <c r="O80" s="31">
        <f>+J80-'[1]вересень (2)'!J73</f>
        <v>0</v>
      </c>
      <c r="P80" s="5"/>
      <c r="Q80" s="5">
        <f>+K80-'[1]вересень (2)'!K73</f>
        <v>0</v>
      </c>
      <c r="R80" s="5"/>
      <c r="AE80" s="1">
        <f>+J80-'[1]26.06. +спорт+днз№15'!J80</f>
        <v>0</v>
      </c>
    </row>
    <row r="81" spans="1:31" ht="99" customHeight="1" x14ac:dyDescent="0.45">
      <c r="A81" s="212"/>
      <c r="B81" s="48"/>
      <c r="C81" s="49" t="s">
        <v>173</v>
      </c>
      <c r="D81" s="46" t="s">
        <v>18</v>
      </c>
      <c r="E81" s="46" t="s">
        <v>19</v>
      </c>
      <c r="F81" s="49" t="s">
        <v>169</v>
      </c>
      <c r="G81" s="596" t="s">
        <v>174</v>
      </c>
      <c r="H81" s="597"/>
      <c r="I81" s="597"/>
      <c r="J81" s="597"/>
      <c r="K81" s="597"/>
      <c r="L81" s="52" t="s">
        <v>175</v>
      </c>
      <c r="M81" s="72"/>
      <c r="N81" s="30"/>
      <c r="O81" s="31">
        <f>+J81-'[1]вересень (2)'!J74</f>
        <v>0</v>
      </c>
      <c r="P81" s="5"/>
      <c r="Q81" s="5">
        <f>+K81-'[1]вересень (2)'!K74</f>
        <v>0</v>
      </c>
      <c r="R81" s="5"/>
      <c r="AE81" s="1">
        <f>+J81-'[1]26.06. +спорт+днз№15'!J81</f>
        <v>0</v>
      </c>
    </row>
    <row r="82" spans="1:31" ht="150.75" customHeight="1" x14ac:dyDescent="0.45">
      <c r="A82" s="218"/>
      <c r="B82" s="48" t="s">
        <v>176</v>
      </c>
      <c r="C82" s="49" t="s">
        <v>177</v>
      </c>
      <c r="D82" s="23" t="s">
        <v>18</v>
      </c>
      <c r="E82" s="46" t="s">
        <v>19</v>
      </c>
      <c r="F82" s="49" t="s">
        <v>26</v>
      </c>
      <c r="G82" s="219">
        <f>SUM(G83+G84+G85+G86+G87+G88+G89)</f>
        <v>38754</v>
      </c>
      <c r="H82" s="219">
        <f>SUM(H83+H84+H85+H86+H87+H88+H89)</f>
        <v>38754</v>
      </c>
      <c r="I82" s="220">
        <v>0</v>
      </c>
      <c r="J82" s="220">
        <v>0</v>
      </c>
      <c r="K82" s="221">
        <v>0</v>
      </c>
      <c r="L82" s="52" t="s">
        <v>178</v>
      </c>
      <c r="M82" s="72"/>
      <c r="N82" s="30"/>
      <c r="O82" s="31">
        <f>+J82-'[1]вересень (2)'!J75</f>
        <v>0</v>
      </c>
      <c r="P82" s="32"/>
      <c r="Q82" s="5">
        <f>+K82-'[1]вересень (2)'!K75</f>
        <v>0</v>
      </c>
      <c r="R82" s="5"/>
      <c r="AE82" s="1">
        <f>+J82-'[1]26.06. +спорт+днз№15'!J82</f>
        <v>0</v>
      </c>
    </row>
    <row r="83" spans="1:31" ht="109.5" customHeight="1" x14ac:dyDescent="0.45">
      <c r="A83" s="218"/>
      <c r="B83" s="48"/>
      <c r="C83" s="222" t="s">
        <v>179</v>
      </c>
      <c r="D83" s="23" t="s">
        <v>18</v>
      </c>
      <c r="E83" s="46" t="s">
        <v>19</v>
      </c>
      <c r="F83" s="49" t="s">
        <v>26</v>
      </c>
      <c r="G83" s="46">
        <v>849</v>
      </c>
      <c r="H83" s="46">
        <v>849</v>
      </c>
      <c r="I83" s="37">
        <v>0</v>
      </c>
      <c r="J83" s="37">
        <v>0</v>
      </c>
      <c r="K83" s="217">
        <v>0</v>
      </c>
      <c r="L83" s="598" t="s">
        <v>180</v>
      </c>
      <c r="M83" s="72"/>
      <c r="N83" s="30"/>
      <c r="O83" s="31">
        <f>+J83-'[1]вересень (2)'!J76</f>
        <v>0</v>
      </c>
      <c r="P83" s="32"/>
      <c r="Q83" s="5">
        <f>+K83-'[1]вересень (2)'!K76</f>
        <v>0</v>
      </c>
      <c r="R83" s="5"/>
      <c r="AE83" s="1">
        <f>+J83-'[1]26.06. +спорт+днз№15'!J83</f>
        <v>0</v>
      </c>
    </row>
    <row r="84" spans="1:31" ht="73.5" customHeight="1" x14ac:dyDescent="0.45">
      <c r="A84" s="212"/>
      <c r="B84" s="48"/>
      <c r="C84" s="223" t="s">
        <v>181</v>
      </c>
      <c r="D84" s="23" t="s">
        <v>18</v>
      </c>
      <c r="E84" s="46" t="s">
        <v>19</v>
      </c>
      <c r="F84" s="49" t="s">
        <v>26</v>
      </c>
      <c r="G84" s="46">
        <v>7500</v>
      </c>
      <c r="H84" s="46">
        <v>7500</v>
      </c>
      <c r="I84" s="37">
        <v>0</v>
      </c>
      <c r="J84" s="37">
        <v>0</v>
      </c>
      <c r="K84" s="217">
        <v>0</v>
      </c>
      <c r="L84" s="599"/>
      <c r="M84" s="72"/>
      <c r="N84" s="30"/>
      <c r="O84" s="31">
        <f>+J84-'[1]вересень (2)'!J77</f>
        <v>0</v>
      </c>
      <c r="P84" s="32"/>
      <c r="Q84" s="5">
        <f>+K84-'[1]вересень (2)'!K77</f>
        <v>0</v>
      </c>
      <c r="R84" s="5"/>
      <c r="AE84" s="1">
        <f>+J84-'[1]26.06. +спорт+днз№15'!J84</f>
        <v>0</v>
      </c>
    </row>
    <row r="85" spans="1:31" ht="92.25" x14ac:dyDescent="0.45">
      <c r="A85" s="600"/>
      <c r="B85" s="48"/>
      <c r="C85" s="224" t="s">
        <v>182</v>
      </c>
      <c r="D85" s="132" t="s">
        <v>18</v>
      </c>
      <c r="E85" s="46" t="s">
        <v>19</v>
      </c>
      <c r="F85" s="49" t="s">
        <v>26</v>
      </c>
      <c r="G85" s="46">
        <v>8400</v>
      </c>
      <c r="H85" s="46">
        <v>8400</v>
      </c>
      <c r="I85" s="37">
        <v>0</v>
      </c>
      <c r="J85" s="37">
        <v>0</v>
      </c>
      <c r="K85" s="217">
        <v>0</v>
      </c>
      <c r="L85" s="599"/>
      <c r="M85" s="62"/>
      <c r="N85" s="30"/>
      <c r="O85" s="31">
        <f>+J85-'[1]вересень (2)'!J78</f>
        <v>0</v>
      </c>
      <c r="P85" s="32"/>
      <c r="Q85" s="5">
        <f>+K85-'[1]вересень (2)'!K78</f>
        <v>0</v>
      </c>
      <c r="R85" s="5"/>
      <c r="AE85" s="1">
        <f>+J85-'[1]26.06. +спорт+днз№15'!J85</f>
        <v>0</v>
      </c>
    </row>
    <row r="86" spans="1:31" ht="71.25" customHeight="1" x14ac:dyDescent="0.45">
      <c r="A86" s="600"/>
      <c r="B86" s="48"/>
      <c r="C86" s="225" t="s">
        <v>183</v>
      </c>
      <c r="D86" s="66" t="s">
        <v>18</v>
      </c>
      <c r="E86" s="60" t="s">
        <v>19</v>
      </c>
      <c r="F86" s="213" t="s">
        <v>26</v>
      </c>
      <c r="G86" s="60">
        <v>9405</v>
      </c>
      <c r="H86" s="60">
        <v>9405</v>
      </c>
      <c r="I86" s="176">
        <v>0</v>
      </c>
      <c r="J86" s="176">
        <v>0</v>
      </c>
      <c r="K86" s="215">
        <v>0</v>
      </c>
      <c r="L86" s="599"/>
      <c r="M86" s="62"/>
      <c r="N86" s="30"/>
      <c r="O86" s="31">
        <f>+J86-'[1]вересень (2)'!J79</f>
        <v>0</v>
      </c>
      <c r="P86" s="32"/>
      <c r="Q86" s="5">
        <f>+K86-'[1]вересень (2)'!K79</f>
        <v>0</v>
      </c>
      <c r="R86" s="5"/>
      <c r="AE86" s="1">
        <f>+J86-'[1]26.06. +спорт+днз№15'!J86</f>
        <v>0</v>
      </c>
    </row>
    <row r="87" spans="1:31" ht="92.25" x14ac:dyDescent="0.45">
      <c r="A87" s="212"/>
      <c r="B87" s="48"/>
      <c r="C87" s="224" t="s">
        <v>184</v>
      </c>
      <c r="D87" s="23" t="s">
        <v>18</v>
      </c>
      <c r="E87" s="46" t="s">
        <v>19</v>
      </c>
      <c r="F87" s="49" t="s">
        <v>26</v>
      </c>
      <c r="G87" s="46">
        <v>7500</v>
      </c>
      <c r="H87" s="46">
        <v>7500</v>
      </c>
      <c r="I87" s="37">
        <v>0</v>
      </c>
      <c r="J87" s="37">
        <v>0</v>
      </c>
      <c r="K87" s="217">
        <v>0</v>
      </c>
      <c r="L87" s="57"/>
      <c r="M87" s="72"/>
      <c r="N87" s="30"/>
      <c r="O87" s="31">
        <f>+J87-'[1]вересень (2)'!J80</f>
        <v>0</v>
      </c>
      <c r="P87" s="32"/>
      <c r="Q87" s="5">
        <f>+K87-'[1]вересень (2)'!K80</f>
        <v>0</v>
      </c>
      <c r="R87" s="5"/>
      <c r="AE87" s="1">
        <f>+J87-'[1]26.06. +спорт+днз№15'!J87</f>
        <v>0</v>
      </c>
    </row>
    <row r="88" spans="1:31" ht="63.75" customHeight="1" x14ac:dyDescent="0.45">
      <c r="A88" s="212"/>
      <c r="B88" s="48"/>
      <c r="C88" s="224" t="s">
        <v>185</v>
      </c>
      <c r="D88" s="23" t="s">
        <v>18</v>
      </c>
      <c r="E88" s="46" t="s">
        <v>19</v>
      </c>
      <c r="F88" s="49" t="s">
        <v>26</v>
      </c>
      <c r="G88" s="46">
        <v>1900</v>
      </c>
      <c r="H88" s="46">
        <v>1900</v>
      </c>
      <c r="I88" s="37">
        <v>0</v>
      </c>
      <c r="J88" s="37">
        <v>0</v>
      </c>
      <c r="K88" s="217">
        <v>0</v>
      </c>
      <c r="L88" s="57"/>
      <c r="M88" s="72"/>
      <c r="N88" s="30"/>
      <c r="O88" s="31">
        <f>+J88-'[1]вересень (2)'!J81</f>
        <v>0</v>
      </c>
      <c r="P88" s="32"/>
      <c r="Q88" s="5">
        <f>+K88-'[1]вересень (2)'!K81</f>
        <v>0</v>
      </c>
      <c r="R88" s="5"/>
      <c r="AE88" s="1">
        <f>+J88-'[1]26.06. +спорт+днз№15'!J88</f>
        <v>0</v>
      </c>
    </row>
    <row r="89" spans="1:31" ht="92.25" x14ac:dyDescent="0.45">
      <c r="A89" s="218"/>
      <c r="B89" s="48"/>
      <c r="C89" s="224" t="s">
        <v>186</v>
      </c>
      <c r="D89" s="226" t="s">
        <v>18</v>
      </c>
      <c r="E89" s="46" t="s">
        <v>19</v>
      </c>
      <c r="F89" s="49" t="s">
        <v>26</v>
      </c>
      <c r="G89" s="46">
        <v>3200</v>
      </c>
      <c r="H89" s="46">
        <v>3200</v>
      </c>
      <c r="I89" s="37">
        <v>0</v>
      </c>
      <c r="J89" s="37">
        <v>0</v>
      </c>
      <c r="K89" s="217">
        <v>0</v>
      </c>
      <c r="L89" s="61"/>
      <c r="M89" s="72"/>
      <c r="N89" s="30"/>
      <c r="O89" s="31">
        <f>+J89-'[1]вересень (2)'!J82</f>
        <v>0</v>
      </c>
      <c r="P89" s="32"/>
      <c r="Q89" s="5">
        <f>+K89-'[1]вересень (2)'!K82</f>
        <v>0</v>
      </c>
      <c r="R89" s="5"/>
      <c r="AE89" s="1">
        <f>+J89-'[1]26.06. +спорт+днз№15'!J89</f>
        <v>0</v>
      </c>
    </row>
    <row r="90" spans="1:31" ht="150" customHeight="1" x14ac:dyDescent="0.45">
      <c r="A90" s="211"/>
      <c r="B90" s="48"/>
      <c r="C90" s="192" t="s">
        <v>187</v>
      </c>
      <c r="D90" s="132" t="s">
        <v>18</v>
      </c>
      <c r="E90" s="60" t="s">
        <v>19</v>
      </c>
      <c r="F90" s="213" t="s">
        <v>26</v>
      </c>
      <c r="G90" s="227">
        <v>1000</v>
      </c>
      <c r="H90" s="39">
        <v>1200</v>
      </c>
      <c r="I90" s="37">
        <v>1200</v>
      </c>
      <c r="J90" s="228">
        <v>1000</v>
      </c>
      <c r="K90" s="229">
        <v>1000</v>
      </c>
      <c r="L90" s="181" t="s">
        <v>178</v>
      </c>
      <c r="M90" s="72"/>
      <c r="N90" s="30"/>
      <c r="O90" s="31">
        <f>+J90-'[1]вересень (2)'!J83</f>
        <v>0</v>
      </c>
      <c r="P90" s="5"/>
      <c r="Q90" s="5">
        <f>+K90-'[1]вересень (2)'!K83</f>
        <v>0</v>
      </c>
      <c r="R90" s="5"/>
      <c r="AE90" s="1">
        <f>+J90-'[1]26.06. +спорт+днз№15'!J90</f>
        <v>0</v>
      </c>
    </row>
    <row r="91" spans="1:31" ht="69" customHeight="1" x14ac:dyDescent="0.45">
      <c r="A91" s="218"/>
      <c r="B91" s="59"/>
      <c r="C91" s="230" t="s">
        <v>188</v>
      </c>
      <c r="D91" s="66" t="s">
        <v>18</v>
      </c>
      <c r="E91" s="60" t="s">
        <v>19</v>
      </c>
      <c r="F91" s="213" t="s">
        <v>26</v>
      </c>
      <c r="G91" s="170">
        <v>1800</v>
      </c>
      <c r="H91" s="170">
        <v>1800</v>
      </c>
      <c r="I91" s="170">
        <v>1800</v>
      </c>
      <c r="J91" s="170">
        <v>1800</v>
      </c>
      <c r="K91" s="231">
        <v>1800</v>
      </c>
      <c r="L91" s="171" t="s">
        <v>189</v>
      </c>
      <c r="M91" s="30"/>
      <c r="N91" s="30"/>
      <c r="O91" s="31">
        <f>+J91-'[1]вересень (2)'!J84</f>
        <v>0</v>
      </c>
      <c r="P91" s="5"/>
      <c r="Q91" s="5">
        <f>+K91-'[1]вересень (2)'!K84</f>
        <v>0</v>
      </c>
      <c r="R91" s="5"/>
      <c r="AE91" s="1">
        <f>+J91-'[1]26.06. +спорт+днз№15'!J91</f>
        <v>0</v>
      </c>
    </row>
    <row r="92" spans="1:31" ht="67.5" customHeight="1" x14ac:dyDescent="0.45">
      <c r="A92" s="212"/>
      <c r="B92" s="48"/>
      <c r="C92" s="74" t="s">
        <v>190</v>
      </c>
      <c r="D92" s="23" t="s">
        <v>18</v>
      </c>
      <c r="E92" s="139" t="s">
        <v>19</v>
      </c>
      <c r="F92" s="140" t="s">
        <v>26</v>
      </c>
      <c r="G92" s="232">
        <v>1300</v>
      </c>
      <c r="H92" s="232">
        <v>1300</v>
      </c>
      <c r="I92" s="232">
        <v>1400</v>
      </c>
      <c r="J92" s="232">
        <v>1400</v>
      </c>
      <c r="K92" s="233">
        <v>1400</v>
      </c>
      <c r="L92" s="234" t="s">
        <v>191</v>
      </c>
      <c r="M92" s="72"/>
      <c r="N92" s="30"/>
      <c r="O92" s="31">
        <f>+J92-'[1]вересень (2)'!J85</f>
        <v>0</v>
      </c>
      <c r="P92" s="5"/>
      <c r="Q92" s="5">
        <f>+K92-'[1]вересень (2)'!K85</f>
        <v>0</v>
      </c>
      <c r="R92" s="5"/>
      <c r="AE92" s="1">
        <f>+J92-'[1]26.06. +спорт+днз№15'!J92</f>
        <v>0</v>
      </c>
    </row>
    <row r="93" spans="1:31" ht="189.75" customHeight="1" x14ac:dyDescent="0.45">
      <c r="A93" s="212"/>
      <c r="B93" s="48"/>
      <c r="C93" s="49" t="s">
        <v>192</v>
      </c>
      <c r="D93" s="23" t="s">
        <v>18</v>
      </c>
      <c r="E93" s="46" t="s">
        <v>19</v>
      </c>
      <c r="F93" s="49" t="s">
        <v>26</v>
      </c>
      <c r="G93" s="46">
        <f>38*5</f>
        <v>190</v>
      </c>
      <c r="H93" s="46">
        <v>190</v>
      </c>
      <c r="I93" s="46">
        <v>190</v>
      </c>
      <c r="J93" s="46">
        <v>190</v>
      </c>
      <c r="K93" s="46">
        <v>190</v>
      </c>
      <c r="L93" s="52" t="s">
        <v>193</v>
      </c>
      <c r="M93" s="72">
        <v>104.7</v>
      </c>
      <c r="N93" s="30">
        <f>+J93-M93</f>
        <v>85.3</v>
      </c>
      <c r="O93" s="31">
        <f>+J93-'[1]вересень (2)'!J86</f>
        <v>0</v>
      </c>
      <c r="P93" s="5"/>
      <c r="Q93" s="5">
        <f>+K93-'[1]вересень (2)'!K86</f>
        <v>0</v>
      </c>
      <c r="R93" s="5"/>
      <c r="AE93" s="1">
        <f>+J93-'[1]26.06. +спорт+днз№15'!J93</f>
        <v>0</v>
      </c>
    </row>
    <row r="94" spans="1:31" ht="92.25" x14ac:dyDescent="0.45">
      <c r="A94" s="212"/>
      <c r="B94" s="48"/>
      <c r="C94" s="59" t="s">
        <v>194</v>
      </c>
      <c r="D94" s="23" t="s">
        <v>18</v>
      </c>
      <c r="E94" s="67" t="s">
        <v>19</v>
      </c>
      <c r="F94" s="65" t="s">
        <v>26</v>
      </c>
      <c r="G94" s="610" t="s">
        <v>113</v>
      </c>
      <c r="H94" s="611"/>
      <c r="I94" s="611"/>
      <c r="J94" s="611"/>
      <c r="K94" s="612"/>
      <c r="L94" s="235" t="s">
        <v>195</v>
      </c>
      <c r="M94" s="90"/>
      <c r="N94" s="30"/>
      <c r="O94" s="31">
        <f>+J94-'[1]вересень (2)'!J87</f>
        <v>0</v>
      </c>
      <c r="P94" s="5"/>
      <c r="Q94" s="5">
        <f>+K94-'[1]вересень (2)'!K87</f>
        <v>0</v>
      </c>
      <c r="R94" s="5"/>
      <c r="AE94" s="1">
        <f>+J94-'[1]26.06. +спорт+днз№15'!J94</f>
        <v>0</v>
      </c>
    </row>
    <row r="95" spans="1:31" ht="309" customHeight="1" x14ac:dyDescent="0.45">
      <c r="A95" s="212"/>
      <c r="B95" s="48"/>
      <c r="C95" s="48" t="s">
        <v>196</v>
      </c>
      <c r="D95" s="23" t="s">
        <v>18</v>
      </c>
      <c r="E95" s="67" t="s">
        <v>19</v>
      </c>
      <c r="F95" s="65" t="s">
        <v>26</v>
      </c>
      <c r="G95" s="236">
        <v>1180</v>
      </c>
      <c r="H95" s="237">
        <v>0</v>
      </c>
      <c r="I95" s="237">
        <v>0</v>
      </c>
      <c r="J95" s="237">
        <v>1510.9</v>
      </c>
      <c r="K95" s="237">
        <v>0</v>
      </c>
      <c r="L95" s="95" t="s">
        <v>197</v>
      </c>
      <c r="M95" s="90">
        <v>1510.9</v>
      </c>
      <c r="N95" s="30">
        <f>-M95</f>
        <v>-1510.9</v>
      </c>
      <c r="O95" s="31">
        <f>+J95-'[1]вересень (2)'!J88</f>
        <v>1510.9</v>
      </c>
      <c r="P95" s="5"/>
      <c r="Q95" s="5">
        <f>+K95-'[1]вересень (2)'!K88</f>
        <v>0</v>
      </c>
      <c r="R95" s="5"/>
      <c r="AE95" s="1">
        <f>+J95-'[1]26.06. +спорт+днз№15'!J95</f>
        <v>0</v>
      </c>
    </row>
    <row r="96" spans="1:31" ht="92.25" customHeight="1" x14ac:dyDescent="0.45">
      <c r="A96" s="212"/>
      <c r="B96" s="48"/>
      <c r="C96" s="238" t="s">
        <v>198</v>
      </c>
      <c r="D96" s="24" t="s">
        <v>18</v>
      </c>
      <c r="E96" s="139" t="s">
        <v>19</v>
      </c>
      <c r="F96" s="140" t="s">
        <v>26</v>
      </c>
      <c r="G96" s="613" t="s">
        <v>113</v>
      </c>
      <c r="H96" s="614"/>
      <c r="I96" s="614"/>
      <c r="J96" s="614"/>
      <c r="K96" s="615"/>
      <c r="L96" s="52" t="s">
        <v>199</v>
      </c>
      <c r="M96" s="72"/>
      <c r="N96" s="30"/>
      <c r="O96" s="31">
        <f>+J96-'[1]вересень (2)'!J89</f>
        <v>0</v>
      </c>
      <c r="P96" s="5"/>
      <c r="Q96" s="5">
        <f>+K96-'[1]вересень (2)'!K89</f>
        <v>0</v>
      </c>
      <c r="R96" s="5"/>
      <c r="AE96" s="1">
        <f>+J96-'[1]26.06. +спорт+днз№15'!J96</f>
        <v>0</v>
      </c>
    </row>
    <row r="97" spans="1:31" ht="163.5" customHeight="1" x14ac:dyDescent="0.45">
      <c r="A97" s="212"/>
      <c r="B97" s="48"/>
      <c r="C97" s="49" t="s">
        <v>200</v>
      </c>
      <c r="D97" s="46" t="s">
        <v>18</v>
      </c>
      <c r="E97" s="46" t="s">
        <v>19</v>
      </c>
      <c r="F97" s="49" t="s">
        <v>201</v>
      </c>
      <c r="G97" s="38">
        <v>5244.3</v>
      </c>
      <c r="H97" s="38">
        <v>5244.3</v>
      </c>
      <c r="I97" s="38">
        <v>5244.3</v>
      </c>
      <c r="J97" s="38">
        <v>5244.3</v>
      </c>
      <c r="K97" s="38">
        <v>5244.3</v>
      </c>
      <c r="L97" s="40" t="s">
        <v>202</v>
      </c>
      <c r="M97" s="30"/>
      <c r="N97" s="30"/>
      <c r="O97" s="31">
        <f>+J97-'[1]вересень (2)'!J90</f>
        <v>0</v>
      </c>
      <c r="P97" s="5"/>
      <c r="Q97" s="5">
        <f>+K97-'[1]вересень (2)'!K90</f>
        <v>0</v>
      </c>
      <c r="R97" s="5"/>
      <c r="AE97" s="1">
        <f>+J97-'[1]26.06. +спорт+днз№15'!J97</f>
        <v>0</v>
      </c>
    </row>
    <row r="98" spans="1:31" ht="132" customHeight="1" x14ac:dyDescent="0.45">
      <c r="A98" s="218"/>
      <c r="B98" s="48"/>
      <c r="C98" s="128" t="s">
        <v>203</v>
      </c>
      <c r="D98" s="239" t="s">
        <v>18</v>
      </c>
      <c r="E98" s="60" t="s">
        <v>19</v>
      </c>
      <c r="F98" s="128" t="s">
        <v>201</v>
      </c>
      <c r="G98" s="129">
        <v>1556.4</v>
      </c>
      <c r="H98" s="129">
        <v>1556.4</v>
      </c>
      <c r="I98" s="129">
        <v>1556.4</v>
      </c>
      <c r="J98" s="129">
        <v>1556.4</v>
      </c>
      <c r="K98" s="129">
        <v>1556.4</v>
      </c>
      <c r="L98" s="40" t="s">
        <v>204</v>
      </c>
      <c r="M98" s="30"/>
      <c r="N98" s="30"/>
      <c r="O98" s="31">
        <f>+J98-'[1]вересень (2)'!J91</f>
        <v>0</v>
      </c>
      <c r="P98" s="5"/>
      <c r="Q98" s="5">
        <f>+K98-'[1]вересень (2)'!K91</f>
        <v>0</v>
      </c>
      <c r="R98" s="5"/>
      <c r="AE98" s="1">
        <f>+J98-'[1]26.06. +спорт+днз№15'!J98</f>
        <v>0</v>
      </c>
    </row>
    <row r="99" spans="1:31" ht="191.25" customHeight="1" x14ac:dyDescent="0.45">
      <c r="A99" s="218"/>
      <c r="B99" s="48"/>
      <c r="C99" s="49" t="s">
        <v>205</v>
      </c>
      <c r="D99" s="24" t="s">
        <v>18</v>
      </c>
      <c r="E99" s="239" t="s">
        <v>19</v>
      </c>
      <c r="F99" s="86" t="s">
        <v>26</v>
      </c>
      <c r="G99" s="602" t="s">
        <v>206</v>
      </c>
      <c r="H99" s="602"/>
      <c r="I99" s="602"/>
      <c r="J99" s="602"/>
      <c r="K99" s="616"/>
      <c r="L99" s="240" t="s">
        <v>207</v>
      </c>
      <c r="M99" s="189"/>
      <c r="N99" s="30"/>
      <c r="O99" s="31">
        <f>+J99-'[1]вересень (2)'!J92</f>
        <v>0</v>
      </c>
      <c r="P99" s="5"/>
      <c r="Q99" s="5">
        <f>+K99-'[1]вересень (2)'!K92</f>
        <v>0</v>
      </c>
      <c r="R99" s="5"/>
      <c r="AE99" s="1">
        <f>+J99-'[1]26.06. +спорт+днз№15'!J99</f>
        <v>0</v>
      </c>
    </row>
    <row r="100" spans="1:31" ht="141.75" customHeight="1" x14ac:dyDescent="0.45">
      <c r="A100" s="211"/>
      <c r="B100" s="48"/>
      <c r="C100" s="241" t="s">
        <v>208</v>
      </c>
      <c r="D100" s="24" t="s">
        <v>18</v>
      </c>
      <c r="E100" s="47" t="s">
        <v>19</v>
      </c>
      <c r="F100" s="86" t="s">
        <v>201</v>
      </c>
      <c r="G100" s="242">
        <v>18000</v>
      </c>
      <c r="H100" s="43">
        <f>14840.5+3775.8+40</f>
        <v>18656.3</v>
      </c>
      <c r="I100" s="44">
        <f>22722.6+14606.8</f>
        <v>37329.399999999994</v>
      </c>
      <c r="J100" s="243">
        <f>+J101+J102+J103+J104+J105</f>
        <v>52549.46</v>
      </c>
      <c r="K100" s="243">
        <v>52549.5</v>
      </c>
      <c r="L100" s="617" t="s">
        <v>209</v>
      </c>
      <c r="M100" s="189"/>
      <c r="N100" s="30"/>
      <c r="O100" s="31">
        <v>0</v>
      </c>
      <c r="P100" s="5"/>
      <c r="Q100" s="5">
        <f>+K100-'[1]вересень (2)'!K93</f>
        <v>52549.5</v>
      </c>
      <c r="R100" s="5"/>
      <c r="AE100" s="1">
        <f>+J100-'[1]26.06. +спорт+днз№15'!J100</f>
        <v>0</v>
      </c>
    </row>
    <row r="101" spans="1:31" ht="183.75" x14ac:dyDescent="0.45">
      <c r="A101" s="211"/>
      <c r="B101" s="59"/>
      <c r="C101" s="244" t="s">
        <v>210</v>
      </c>
      <c r="D101" s="46"/>
      <c r="E101" s="46"/>
      <c r="F101" s="49"/>
      <c r="G101" s="51"/>
      <c r="H101" s="38"/>
      <c r="I101" s="39"/>
      <c r="J101" s="46">
        <v>14423</v>
      </c>
      <c r="K101" s="46"/>
      <c r="L101" s="618"/>
      <c r="M101" s="189"/>
      <c r="N101" s="30"/>
      <c r="O101" s="31"/>
      <c r="P101" s="5"/>
      <c r="Q101" s="5"/>
      <c r="R101" s="5"/>
      <c r="AE101" s="1">
        <f>+J101-'[1]26.06. +спорт+днз№15'!J101</f>
        <v>0</v>
      </c>
    </row>
    <row r="102" spans="1:31" ht="162.75" customHeight="1" x14ac:dyDescent="0.45">
      <c r="A102" s="211"/>
      <c r="B102" s="59"/>
      <c r="C102" s="244" t="s">
        <v>211</v>
      </c>
      <c r="D102" s="46"/>
      <c r="E102" s="46"/>
      <c r="F102" s="49"/>
      <c r="G102" s="51"/>
      <c r="H102" s="38"/>
      <c r="I102" s="39"/>
      <c r="J102" s="46">
        <v>1195</v>
      </c>
      <c r="K102" s="46"/>
      <c r="L102" s="618"/>
      <c r="M102" s="189"/>
      <c r="N102" s="30"/>
      <c r="O102" s="31"/>
      <c r="P102" s="5"/>
      <c r="Q102" s="5"/>
      <c r="R102" s="5"/>
      <c r="AE102" s="1">
        <f>+J102-'[1]26.06. +спорт+днз№15'!J102</f>
        <v>0</v>
      </c>
    </row>
    <row r="103" spans="1:31" ht="192.75" customHeight="1" x14ac:dyDescent="0.45">
      <c r="A103" s="211"/>
      <c r="B103" s="59"/>
      <c r="C103" s="244" t="s">
        <v>212</v>
      </c>
      <c r="D103" s="46"/>
      <c r="E103" s="46"/>
      <c r="F103" s="49"/>
      <c r="G103" s="51"/>
      <c r="H103" s="38"/>
      <c r="I103" s="39"/>
      <c r="J103" s="46">
        <f>14285.9</f>
        <v>14285.9</v>
      </c>
      <c r="K103" s="46"/>
      <c r="L103" s="619"/>
      <c r="M103" s="189"/>
      <c r="N103" s="30"/>
      <c r="O103" s="31"/>
      <c r="P103" s="5"/>
      <c r="Q103" s="5"/>
      <c r="R103" s="5"/>
      <c r="AE103" s="1">
        <f>+J103-'[1]26.06. +спорт+днз№15'!J103</f>
        <v>0</v>
      </c>
    </row>
    <row r="104" spans="1:31" ht="192.75" customHeight="1" x14ac:dyDescent="0.45">
      <c r="A104" s="211"/>
      <c r="B104" s="59"/>
      <c r="C104" s="244" t="s">
        <v>213</v>
      </c>
      <c r="D104" s="46" t="s">
        <v>214</v>
      </c>
      <c r="E104" s="46" t="s">
        <v>19</v>
      </c>
      <c r="F104" s="49" t="s">
        <v>215</v>
      </c>
      <c r="G104" s="51"/>
      <c r="H104" s="38"/>
      <c r="I104" s="245"/>
      <c r="J104" s="60">
        <v>5555.56</v>
      </c>
      <c r="K104" s="60"/>
      <c r="L104" s="246"/>
      <c r="M104" s="189"/>
      <c r="N104" s="30"/>
      <c r="O104" s="31"/>
      <c r="P104" s="5"/>
      <c r="Q104" s="5"/>
      <c r="R104" s="5"/>
      <c r="AE104" s="1">
        <f>+J104-'[1]26.06. +спорт+днз№15'!J104</f>
        <v>0</v>
      </c>
    </row>
    <row r="105" spans="1:31" ht="183.75" customHeight="1" x14ac:dyDescent="0.45">
      <c r="A105" s="211"/>
      <c r="B105" s="59"/>
      <c r="C105" s="247" t="s">
        <v>216</v>
      </c>
      <c r="D105" s="60"/>
      <c r="E105" s="60"/>
      <c r="F105" s="213"/>
      <c r="G105" s="248"/>
      <c r="H105" s="170"/>
      <c r="I105" s="245"/>
      <c r="J105" s="60">
        <f>+J106+J107</f>
        <v>17090</v>
      </c>
      <c r="K105" s="60"/>
      <c r="L105" s="249" t="s">
        <v>217</v>
      </c>
      <c r="M105" s="189"/>
      <c r="N105" s="30"/>
      <c r="O105" s="31"/>
      <c r="P105" s="5"/>
      <c r="Q105" s="5"/>
      <c r="R105" s="5"/>
      <c r="AE105" s="1">
        <f>+J105-'[1]26.06. +спорт+днз№15'!J105</f>
        <v>0</v>
      </c>
    </row>
    <row r="106" spans="1:31" ht="60.75" customHeight="1" x14ac:dyDescent="0.45">
      <c r="A106" s="211"/>
      <c r="B106" s="59"/>
      <c r="C106" s="250" t="s">
        <v>218</v>
      </c>
      <c r="D106" s="60"/>
      <c r="E106" s="60"/>
      <c r="F106" s="213"/>
      <c r="G106" s="248"/>
      <c r="H106" s="170"/>
      <c r="I106" s="245"/>
      <c r="J106" s="251">
        <v>10890</v>
      </c>
      <c r="K106" s="60"/>
      <c r="L106" s="252"/>
      <c r="M106" s="189"/>
      <c r="N106" s="30"/>
      <c r="O106" s="31"/>
      <c r="P106" s="5"/>
      <c r="Q106" s="5"/>
      <c r="R106" s="5"/>
      <c r="AE106" s="1">
        <f>+J106-'[1]26.06. +спорт+днз№15'!J106</f>
        <v>0</v>
      </c>
    </row>
    <row r="107" spans="1:31" ht="42.75" customHeight="1" x14ac:dyDescent="0.45">
      <c r="A107" s="211"/>
      <c r="B107" s="59"/>
      <c r="C107" s="250" t="s">
        <v>219</v>
      </c>
      <c r="D107" s="60"/>
      <c r="E107" s="60"/>
      <c r="F107" s="213"/>
      <c r="G107" s="248"/>
      <c r="H107" s="170"/>
      <c r="I107" s="245"/>
      <c r="J107" s="251">
        <v>6200</v>
      </c>
      <c r="K107" s="60"/>
      <c r="L107" s="252"/>
      <c r="M107" s="189"/>
      <c r="N107" s="30"/>
      <c r="O107" s="31"/>
      <c r="P107" s="5"/>
      <c r="Q107" s="5"/>
      <c r="R107" s="5"/>
      <c r="AE107" s="1">
        <f>+J107-'[1]26.06. +спорт+днз№15'!J107</f>
        <v>0</v>
      </c>
    </row>
    <row r="108" spans="1:31" ht="292.5" customHeight="1" x14ac:dyDescent="0.45">
      <c r="A108" s="211"/>
      <c r="B108" s="253" t="s">
        <v>220</v>
      </c>
      <c r="C108" s="254" t="s">
        <v>221</v>
      </c>
      <c r="D108" s="60" t="s">
        <v>18</v>
      </c>
      <c r="E108" s="60" t="s">
        <v>19</v>
      </c>
      <c r="F108" s="213" t="s">
        <v>26</v>
      </c>
      <c r="G108" s="245">
        <v>1500</v>
      </c>
      <c r="H108" s="245">
        <v>1500</v>
      </c>
      <c r="I108" s="245">
        <v>1500</v>
      </c>
      <c r="J108" s="245">
        <v>1500</v>
      </c>
      <c r="K108" s="245">
        <v>1500</v>
      </c>
      <c r="L108" s="171" t="s">
        <v>222</v>
      </c>
      <c r="M108" s="30"/>
      <c r="N108" s="30"/>
      <c r="O108" s="31">
        <f>+J108-'[1]вересень (2)'!J94</f>
        <v>0</v>
      </c>
      <c r="P108" s="5"/>
      <c r="Q108" s="5">
        <f>+K108-'[1]вересень (2)'!K94</f>
        <v>0</v>
      </c>
      <c r="R108" s="5"/>
      <c r="AE108" s="1">
        <f>+J108-'[1]26.06. +спорт+днз№15'!J108</f>
        <v>0</v>
      </c>
    </row>
    <row r="109" spans="1:31" ht="215.25" x14ac:dyDescent="0.45">
      <c r="A109" s="255"/>
      <c r="B109" s="256"/>
      <c r="C109" s="257" t="s">
        <v>223</v>
      </c>
      <c r="D109" s="46" t="s">
        <v>18</v>
      </c>
      <c r="E109" s="46" t="s">
        <v>19</v>
      </c>
      <c r="F109" s="49" t="s">
        <v>26</v>
      </c>
      <c r="G109" s="39">
        <v>2000</v>
      </c>
      <c r="H109" s="39">
        <v>2000</v>
      </c>
      <c r="I109" s="39">
        <v>2000</v>
      </c>
      <c r="J109" s="39">
        <v>2000</v>
      </c>
      <c r="K109" s="39">
        <v>2000</v>
      </c>
      <c r="L109" s="40" t="s">
        <v>224</v>
      </c>
      <c r="M109" s="30"/>
      <c r="N109" s="30"/>
      <c r="O109" s="31">
        <f>+J109-'[1]вересень (2)'!J95</f>
        <v>0</v>
      </c>
      <c r="P109" s="5"/>
      <c r="Q109" s="5">
        <f>+K109-'[1]вересень (2)'!K95</f>
        <v>0</v>
      </c>
      <c r="R109" s="5"/>
      <c r="AE109" s="1">
        <f>+J109-'[1]26.06. +спорт+днз№15'!J109</f>
        <v>0</v>
      </c>
    </row>
    <row r="110" spans="1:31" ht="215.25" x14ac:dyDescent="0.45">
      <c r="A110" s="212"/>
      <c r="B110" s="253"/>
      <c r="C110" s="254" t="s">
        <v>225</v>
      </c>
      <c r="D110" s="60" t="s">
        <v>18</v>
      </c>
      <c r="E110" s="60" t="s">
        <v>19</v>
      </c>
      <c r="F110" s="213" t="s">
        <v>26</v>
      </c>
      <c r="G110" s="245">
        <v>850</v>
      </c>
      <c r="H110" s="245">
        <f>780+100</f>
        <v>880</v>
      </c>
      <c r="I110" s="245">
        <v>780</v>
      </c>
      <c r="J110" s="245">
        <v>800</v>
      </c>
      <c r="K110" s="245">
        <v>800</v>
      </c>
      <c r="L110" s="162" t="s">
        <v>110</v>
      </c>
      <c r="M110" s="30"/>
      <c r="N110" s="30"/>
      <c r="O110" s="31">
        <f>+J110-'[1]вересень (2)'!J96</f>
        <v>0</v>
      </c>
      <c r="P110" s="5"/>
      <c r="Q110" s="5">
        <f>+K110-'[1]вересень (2)'!K96</f>
        <v>0</v>
      </c>
      <c r="R110" s="5"/>
      <c r="AE110" s="1">
        <f>+J110-'[1]26.06. +спорт+днз№15'!J110</f>
        <v>0</v>
      </c>
    </row>
    <row r="111" spans="1:31" ht="123" x14ac:dyDescent="0.45">
      <c r="A111" s="212"/>
      <c r="B111" s="256"/>
      <c r="C111" s="257" t="s">
        <v>226</v>
      </c>
      <c r="D111" s="46" t="s">
        <v>18</v>
      </c>
      <c r="E111" s="46" t="s">
        <v>19</v>
      </c>
      <c r="F111" s="49" t="s">
        <v>26</v>
      </c>
      <c r="G111" s="39">
        <v>300</v>
      </c>
      <c r="H111" s="39">
        <v>320</v>
      </c>
      <c r="I111" s="39">
        <v>340</v>
      </c>
      <c r="J111" s="39">
        <v>355</v>
      </c>
      <c r="K111" s="39">
        <v>370</v>
      </c>
      <c r="L111" s="40" t="s">
        <v>222</v>
      </c>
      <c r="M111" s="30">
        <v>168.5</v>
      </c>
      <c r="N111" s="30">
        <f>+J111-M111</f>
        <v>186.5</v>
      </c>
      <c r="O111" s="31">
        <f>+J111-'[1]вересень (2)'!J97</f>
        <v>0</v>
      </c>
      <c r="P111" s="5"/>
      <c r="Q111" s="5">
        <f>+K111-'[1]вересень (2)'!K97</f>
        <v>0</v>
      </c>
      <c r="R111" s="5"/>
      <c r="AE111" s="1">
        <f>+J111-'[1]26.06. +спорт+днз№15'!J111</f>
        <v>0</v>
      </c>
    </row>
    <row r="112" spans="1:31" ht="92.25" x14ac:dyDescent="0.45">
      <c r="A112" s="212"/>
      <c r="B112" s="258"/>
      <c r="C112" s="257" t="s">
        <v>227</v>
      </c>
      <c r="D112" s="46" t="s">
        <v>18</v>
      </c>
      <c r="E112" s="46" t="s">
        <v>19</v>
      </c>
      <c r="F112" s="49" t="s">
        <v>26</v>
      </c>
      <c r="G112" s="620" t="s">
        <v>112</v>
      </c>
      <c r="H112" s="620"/>
      <c r="I112" s="620"/>
      <c r="J112" s="620"/>
      <c r="K112" s="620"/>
      <c r="L112" s="259" t="s">
        <v>222</v>
      </c>
      <c r="M112" s="260"/>
      <c r="N112" s="30"/>
      <c r="O112" s="31">
        <f>+J112-'[1]вересень (2)'!J98</f>
        <v>0</v>
      </c>
      <c r="P112" s="5"/>
      <c r="Q112" s="5">
        <f>+K112-'[1]вересень (2)'!K98</f>
        <v>0</v>
      </c>
      <c r="R112" s="5"/>
      <c r="AE112" s="1">
        <f>+J112-'[1]26.06. +спорт+днз№15'!J112</f>
        <v>0</v>
      </c>
    </row>
    <row r="113" spans="1:31" ht="92.25" x14ac:dyDescent="0.45">
      <c r="A113" s="212"/>
      <c r="B113" s="258"/>
      <c r="C113" s="257" t="s">
        <v>228</v>
      </c>
      <c r="D113" s="46" t="s">
        <v>18</v>
      </c>
      <c r="E113" s="46" t="s">
        <v>19</v>
      </c>
      <c r="F113" s="49" t="s">
        <v>26</v>
      </c>
      <c r="G113" s="39">
        <v>1230</v>
      </c>
      <c r="H113" s="46">
        <v>615</v>
      </c>
      <c r="I113" s="46">
        <v>615</v>
      </c>
      <c r="J113" s="46">
        <v>0</v>
      </c>
      <c r="K113" s="46">
        <v>0</v>
      </c>
      <c r="L113" s="261" t="s">
        <v>229</v>
      </c>
      <c r="M113" s="164">
        <v>269.89999999999998</v>
      </c>
      <c r="N113" s="30">
        <f>-M113</f>
        <v>-269.89999999999998</v>
      </c>
      <c r="O113" s="31">
        <f>+J113-'[1]вересень (2)'!J99</f>
        <v>0</v>
      </c>
      <c r="P113" s="5"/>
      <c r="Q113" s="5">
        <f>+K113-'[1]вересень (2)'!K99</f>
        <v>0</v>
      </c>
      <c r="R113" s="5"/>
      <c r="AE113" s="1">
        <f>+J113-'[1]26.06. +спорт+днз№15'!J113</f>
        <v>0</v>
      </c>
    </row>
    <row r="114" spans="1:31" ht="123" x14ac:dyDescent="0.45">
      <c r="A114" s="212"/>
      <c r="B114" s="262"/>
      <c r="C114" s="254" t="s">
        <v>230</v>
      </c>
      <c r="D114" s="67" t="s">
        <v>18</v>
      </c>
      <c r="E114" s="67" t="s">
        <v>19</v>
      </c>
      <c r="F114" s="65" t="s">
        <v>26</v>
      </c>
      <c r="G114" s="621" t="s">
        <v>112</v>
      </c>
      <c r="H114" s="622"/>
      <c r="I114" s="622"/>
      <c r="J114" s="622"/>
      <c r="K114" s="623"/>
      <c r="L114" s="263" t="s">
        <v>116</v>
      </c>
      <c r="M114" s="164"/>
      <c r="N114" s="30"/>
      <c r="O114" s="31">
        <f>+J114-'[1]вересень (2)'!J100</f>
        <v>0</v>
      </c>
      <c r="P114" s="5"/>
      <c r="Q114" s="5">
        <f>+K114-'[1]вересень (2)'!K100</f>
        <v>0</v>
      </c>
      <c r="R114" s="5"/>
      <c r="AE114" s="1">
        <f>+J114-'[1]26.06. +спорт+днз№15'!J114</f>
        <v>0</v>
      </c>
    </row>
    <row r="115" spans="1:31" ht="153.75" x14ac:dyDescent="0.45">
      <c r="A115" s="211"/>
      <c r="B115" s="258"/>
      <c r="C115" s="49" t="s">
        <v>231</v>
      </c>
      <c r="D115" s="46" t="s">
        <v>18</v>
      </c>
      <c r="E115" s="46" t="s">
        <v>19</v>
      </c>
      <c r="F115" s="49" t="s">
        <v>26</v>
      </c>
      <c r="G115" s="237">
        <v>800</v>
      </c>
      <c r="H115" s="237">
        <v>800</v>
      </c>
      <c r="I115" s="237">
        <v>800</v>
      </c>
      <c r="J115" s="237">
        <v>800</v>
      </c>
      <c r="K115" s="237">
        <v>800</v>
      </c>
      <c r="L115" s="40" t="s">
        <v>120</v>
      </c>
      <c r="M115" s="30"/>
      <c r="N115" s="30"/>
      <c r="O115" s="31">
        <f>+J115-'[1]вересень (2)'!J101</f>
        <v>0</v>
      </c>
      <c r="P115" s="5"/>
      <c r="Q115" s="5">
        <f>+K115-'[1]вересень (2)'!K101</f>
        <v>0</v>
      </c>
      <c r="R115" s="5"/>
      <c r="AE115" s="1">
        <f>+J115-'[1]26.06. +спорт+днз№15'!J115</f>
        <v>0</v>
      </c>
    </row>
    <row r="116" spans="1:31" ht="392.25" customHeight="1" x14ac:dyDescent="0.45">
      <c r="A116" s="264"/>
      <c r="B116" s="258"/>
      <c r="C116" s="49" t="s">
        <v>232</v>
      </c>
      <c r="D116" s="174" t="s">
        <v>13</v>
      </c>
      <c r="E116" s="46" t="s">
        <v>19</v>
      </c>
      <c r="F116" s="49" t="s">
        <v>26</v>
      </c>
      <c r="G116" s="237">
        <v>0</v>
      </c>
      <c r="H116" s="237">
        <v>0</v>
      </c>
      <c r="I116" s="237">
        <v>0</v>
      </c>
      <c r="J116" s="237">
        <v>2500</v>
      </c>
      <c r="K116" s="237">
        <v>0</v>
      </c>
      <c r="L116" s="49" t="s">
        <v>233</v>
      </c>
      <c r="M116" s="30"/>
      <c r="N116" s="30"/>
      <c r="O116" s="31"/>
      <c r="P116" s="5"/>
      <c r="Q116" s="5"/>
      <c r="R116" s="5"/>
      <c r="AE116" s="1">
        <f>+J116-'[1]26.06. +спорт+днз№15'!J116</f>
        <v>0</v>
      </c>
    </row>
    <row r="117" spans="1:31" ht="183.75" customHeight="1" x14ac:dyDescent="0.45">
      <c r="A117" s="264"/>
      <c r="B117" s="258"/>
      <c r="C117" s="274" t="s">
        <v>234</v>
      </c>
      <c r="D117" s="174" t="s">
        <v>13</v>
      </c>
      <c r="E117" s="46" t="s">
        <v>19</v>
      </c>
      <c r="F117" s="49" t="s">
        <v>26</v>
      </c>
      <c r="G117" s="237"/>
      <c r="H117" s="237"/>
      <c r="I117" s="237"/>
      <c r="J117" s="237">
        <f>3000+1099.5</f>
        <v>4099.5</v>
      </c>
      <c r="K117" s="237"/>
      <c r="L117" s="49"/>
      <c r="M117" s="30"/>
      <c r="N117" s="30"/>
      <c r="O117" s="31"/>
      <c r="P117" s="5"/>
      <c r="Q117" s="5"/>
      <c r="R117" s="5"/>
      <c r="AE117" s="1">
        <f>+J117-'[1]26.06. +спорт+днз№15'!J117</f>
        <v>1099.5</v>
      </c>
    </row>
    <row r="118" spans="1:31" ht="384.75" customHeight="1" x14ac:dyDescent="0.45">
      <c r="A118" s="202"/>
      <c r="B118" s="265" t="s">
        <v>235</v>
      </c>
      <c r="C118" s="266" t="s">
        <v>236</v>
      </c>
      <c r="D118" s="67" t="s">
        <v>18</v>
      </c>
      <c r="E118" s="267" t="s">
        <v>19</v>
      </c>
      <c r="F118" s="266" t="s">
        <v>26</v>
      </c>
      <c r="G118" s="634" t="s">
        <v>237</v>
      </c>
      <c r="H118" s="634"/>
      <c r="I118" s="634"/>
      <c r="J118" s="634"/>
      <c r="K118" s="634"/>
      <c r="L118" s="268" t="s">
        <v>238</v>
      </c>
      <c r="M118" s="137"/>
      <c r="N118" s="30"/>
      <c r="O118" s="31">
        <f>+J118-'[1]вересень (2)'!J102</f>
        <v>0</v>
      </c>
      <c r="P118" s="5"/>
      <c r="Q118" s="5">
        <f>+K118-'[1]вересень (2)'!K102</f>
        <v>0</v>
      </c>
      <c r="R118" s="5"/>
      <c r="AE118" s="1">
        <f>+J118-'[1]26.06. +спорт+днз№15'!J118</f>
        <v>0</v>
      </c>
    </row>
    <row r="119" spans="1:31" ht="244.5" customHeight="1" x14ac:dyDescent="0.45">
      <c r="A119" s="202"/>
      <c r="B119" s="269" t="s">
        <v>239</v>
      </c>
      <c r="C119" s="270" t="s">
        <v>240</v>
      </c>
      <c r="D119" s="67" t="s">
        <v>18</v>
      </c>
      <c r="E119" s="67" t="s">
        <v>19</v>
      </c>
      <c r="F119" s="65" t="s">
        <v>26</v>
      </c>
      <c r="G119" s="635" t="s">
        <v>237</v>
      </c>
      <c r="H119" s="635"/>
      <c r="I119" s="635"/>
      <c r="J119" s="635"/>
      <c r="K119" s="635"/>
      <c r="L119" s="263" t="s">
        <v>241</v>
      </c>
      <c r="M119" s="164"/>
      <c r="N119" s="30"/>
      <c r="O119" s="31">
        <f>+J119-'[1]вересень (2)'!J103</f>
        <v>0</v>
      </c>
      <c r="P119" s="5"/>
      <c r="Q119" s="5">
        <f>+K119-'[1]вересень (2)'!K103</f>
        <v>0</v>
      </c>
      <c r="R119" s="5"/>
      <c r="AE119" s="1">
        <f>+J119-'[1]26.06. +спорт+днз№15'!J119</f>
        <v>0</v>
      </c>
    </row>
    <row r="120" spans="1:31" ht="175.5" customHeight="1" x14ac:dyDescent="0.45">
      <c r="A120" s="271"/>
      <c r="B120" s="269" t="s">
        <v>242</v>
      </c>
      <c r="C120" s="65" t="s">
        <v>243</v>
      </c>
      <c r="D120" s="132" t="s">
        <v>18</v>
      </c>
      <c r="E120" s="67" t="s">
        <v>19</v>
      </c>
      <c r="F120" s="65" t="s">
        <v>23</v>
      </c>
      <c r="G120" s="157">
        <v>9217</v>
      </c>
      <c r="H120" s="157">
        <v>10046.5</v>
      </c>
      <c r="I120" s="157">
        <f>10950.7+531.1</f>
        <v>11481.800000000001</v>
      </c>
      <c r="J120" s="272">
        <v>13683.4</v>
      </c>
      <c r="K120" s="272">
        <v>13250.4</v>
      </c>
      <c r="L120" s="181" t="s">
        <v>244</v>
      </c>
      <c r="M120" s="72"/>
      <c r="N120" s="30"/>
      <c r="O120" s="31">
        <f>+J120-'[1]вересень (2)'!J104</f>
        <v>1637.6000000000004</v>
      </c>
      <c r="P120" s="5"/>
      <c r="Q120" s="5">
        <f>+K120-'[1]вересень (2)'!K104</f>
        <v>0</v>
      </c>
      <c r="R120" s="5"/>
      <c r="AE120" s="1">
        <f>+J120-'[1]26.06. +спорт+днз№15'!J120</f>
        <v>1637.6000000000004</v>
      </c>
    </row>
    <row r="121" spans="1:31" ht="168" customHeight="1" x14ac:dyDescent="0.45">
      <c r="A121" s="212"/>
      <c r="B121" s="216"/>
      <c r="C121" s="49" t="s">
        <v>245</v>
      </c>
      <c r="D121" s="153" t="s">
        <v>246</v>
      </c>
      <c r="E121" s="67" t="s">
        <v>19</v>
      </c>
      <c r="F121" s="65" t="s">
        <v>26</v>
      </c>
      <c r="G121" s="38">
        <v>0</v>
      </c>
      <c r="H121" s="38">
        <f>409+182.3</f>
        <v>591.29999999999995</v>
      </c>
      <c r="I121" s="38">
        <f>424.8+400.7</f>
        <v>825.5</v>
      </c>
      <c r="J121" s="39">
        <f>523.3+421.7</f>
        <v>945</v>
      </c>
      <c r="K121" s="39">
        <v>0</v>
      </c>
      <c r="L121" s="112" t="s">
        <v>247</v>
      </c>
      <c r="M121" s="113"/>
      <c r="N121" s="30"/>
      <c r="O121" s="31">
        <f>+J121-'[1]вересень (2)'!J105</f>
        <v>945</v>
      </c>
      <c r="P121" s="5"/>
      <c r="Q121" s="5">
        <f>+K121-'[1]вересень (2)'!K105</f>
        <v>0</v>
      </c>
      <c r="R121" s="5"/>
      <c r="AE121" s="1">
        <f>+J121-'[1]26.06. +спорт+днз№15'!J121</f>
        <v>421.70000000000005</v>
      </c>
    </row>
    <row r="122" spans="1:31" ht="215.25" customHeight="1" x14ac:dyDescent="0.45">
      <c r="A122" s="212"/>
      <c r="B122" s="216"/>
      <c r="C122" s="680" t="s">
        <v>248</v>
      </c>
      <c r="D122" s="680" t="s">
        <v>13</v>
      </c>
      <c r="E122" s="681" t="s">
        <v>19</v>
      </c>
      <c r="F122" s="682" t="s">
        <v>26</v>
      </c>
      <c r="G122" s="683">
        <v>0</v>
      </c>
      <c r="H122" s="683">
        <v>0</v>
      </c>
      <c r="I122" s="683">
        <v>0</v>
      </c>
      <c r="J122" s="684">
        <f>954.6+1148.4</f>
        <v>2103</v>
      </c>
      <c r="K122" s="684">
        <v>0</v>
      </c>
      <c r="L122" s="685" t="s">
        <v>249</v>
      </c>
      <c r="M122" s="113"/>
      <c r="N122" s="30"/>
      <c r="O122" s="31"/>
      <c r="P122" s="5"/>
      <c r="Q122" s="5"/>
      <c r="R122" s="5"/>
      <c r="AE122" s="1">
        <f>+J122-'[1]26.06. +спорт+днз№15'!J122</f>
        <v>1148.4000000000001</v>
      </c>
    </row>
    <row r="123" spans="1:31" ht="129" customHeight="1" x14ac:dyDescent="0.45">
      <c r="A123" s="218"/>
      <c r="B123" s="48" t="s">
        <v>250</v>
      </c>
      <c r="C123" s="46" t="s">
        <v>251</v>
      </c>
      <c r="D123" s="46" t="s">
        <v>18</v>
      </c>
      <c r="E123" s="46" t="s">
        <v>19</v>
      </c>
      <c r="F123" s="49" t="s">
        <v>67</v>
      </c>
      <c r="G123" s="38">
        <v>0</v>
      </c>
      <c r="H123" s="38">
        <v>0</v>
      </c>
      <c r="I123" s="38">
        <v>0</v>
      </c>
      <c r="J123" s="38">
        <v>0</v>
      </c>
      <c r="K123" s="38">
        <v>0</v>
      </c>
      <c r="L123" s="636" t="s">
        <v>252</v>
      </c>
      <c r="M123" s="30"/>
      <c r="N123" s="30"/>
      <c r="O123" s="31">
        <f>+J123-'[1]вересень (2)'!J106</f>
        <v>0</v>
      </c>
      <c r="P123" s="5"/>
      <c r="Q123" s="5">
        <f>+K123-'[1]вересень (2)'!K106</f>
        <v>0</v>
      </c>
      <c r="R123" s="5"/>
      <c r="AE123" s="1">
        <f>+J123-'[1]26.06. +спорт+днз№15'!J123</f>
        <v>0</v>
      </c>
    </row>
    <row r="124" spans="1:31" ht="153.75" x14ac:dyDescent="0.45">
      <c r="A124" s="218"/>
      <c r="B124" s="48"/>
      <c r="C124" s="46" t="s">
        <v>253</v>
      </c>
      <c r="D124" s="46" t="s">
        <v>18</v>
      </c>
      <c r="E124" s="46" t="s">
        <v>19</v>
      </c>
      <c r="F124" s="49" t="s">
        <v>67</v>
      </c>
      <c r="G124" s="38">
        <v>0</v>
      </c>
      <c r="H124" s="38">
        <v>0</v>
      </c>
      <c r="I124" s="38">
        <v>0</v>
      </c>
      <c r="J124" s="38">
        <v>0</v>
      </c>
      <c r="K124" s="38">
        <v>0</v>
      </c>
      <c r="L124" s="636"/>
      <c r="M124" s="30"/>
      <c r="N124" s="30"/>
      <c r="O124" s="31">
        <f>+J124-'[1]вересень (2)'!J107</f>
        <v>0</v>
      </c>
      <c r="P124" s="5"/>
      <c r="Q124" s="5">
        <f>+K124-'[1]вересень (2)'!K107</f>
        <v>0</v>
      </c>
      <c r="R124" s="5"/>
      <c r="AE124" s="1">
        <f>+J124-'[1]26.06. +спорт+днз№15'!J124</f>
        <v>0</v>
      </c>
    </row>
    <row r="125" spans="1:31" ht="99.75" customHeight="1" x14ac:dyDescent="0.45">
      <c r="A125" s="211"/>
      <c r="B125" s="48"/>
      <c r="C125" s="46" t="s">
        <v>254</v>
      </c>
      <c r="D125" s="46" t="s">
        <v>18</v>
      </c>
      <c r="E125" s="46" t="s">
        <v>19</v>
      </c>
      <c r="F125" s="49" t="s">
        <v>67</v>
      </c>
      <c r="G125" s="38">
        <v>0</v>
      </c>
      <c r="H125" s="38">
        <v>0</v>
      </c>
      <c r="I125" s="38">
        <v>0</v>
      </c>
      <c r="J125" s="38">
        <v>0</v>
      </c>
      <c r="K125" s="38">
        <v>0</v>
      </c>
      <c r="L125" s="52" t="s">
        <v>255</v>
      </c>
      <c r="M125" s="72"/>
      <c r="N125" s="30"/>
      <c r="O125" s="31">
        <f>+J125-'[1]вересень (2)'!J108</f>
        <v>0</v>
      </c>
      <c r="P125" s="5"/>
      <c r="Q125" s="5">
        <f>+K125-'[1]вересень (2)'!K108</f>
        <v>0</v>
      </c>
      <c r="R125" s="5"/>
      <c r="AE125" s="1">
        <f>+J125-'[1]26.06. +спорт+днз№15'!J125</f>
        <v>0</v>
      </c>
    </row>
    <row r="126" spans="1:31" ht="129" customHeight="1" x14ac:dyDescent="0.45">
      <c r="A126" s="218"/>
      <c r="B126" s="59" t="s">
        <v>256</v>
      </c>
      <c r="C126" s="213" t="s">
        <v>257</v>
      </c>
      <c r="D126" s="60" t="s">
        <v>18</v>
      </c>
      <c r="E126" s="60" t="s">
        <v>19</v>
      </c>
      <c r="F126" s="213" t="s">
        <v>67</v>
      </c>
      <c r="G126" s="170">
        <v>0</v>
      </c>
      <c r="H126" s="170">
        <v>0</v>
      </c>
      <c r="I126" s="170">
        <v>0</v>
      </c>
      <c r="J126" s="170">
        <v>0</v>
      </c>
      <c r="K126" s="170">
        <v>0</v>
      </c>
      <c r="L126" s="61" t="s">
        <v>258</v>
      </c>
      <c r="M126" s="72"/>
      <c r="N126" s="30"/>
      <c r="O126" s="31">
        <f>+J126-'[1]вересень (2)'!J109</f>
        <v>0</v>
      </c>
      <c r="P126" s="5"/>
      <c r="Q126" s="5">
        <f>+K126-'[1]вересень (2)'!K109</f>
        <v>0</v>
      </c>
      <c r="R126" s="5"/>
      <c r="AE126" s="1">
        <f>+J126-'[1]26.06. +спорт+днз№15'!J126</f>
        <v>0</v>
      </c>
    </row>
    <row r="127" spans="1:31" ht="123.75" customHeight="1" x14ac:dyDescent="0.45">
      <c r="A127" s="600"/>
      <c r="B127" s="48"/>
      <c r="C127" s="49" t="s">
        <v>259</v>
      </c>
      <c r="D127" s="46" t="s">
        <v>18</v>
      </c>
      <c r="E127" s="46" t="s">
        <v>19</v>
      </c>
      <c r="F127" s="49" t="s">
        <v>67</v>
      </c>
      <c r="G127" s="38">
        <v>0</v>
      </c>
      <c r="H127" s="38">
        <v>0</v>
      </c>
      <c r="I127" s="38">
        <v>0</v>
      </c>
      <c r="J127" s="38">
        <v>0</v>
      </c>
      <c r="K127" s="38">
        <v>0</v>
      </c>
      <c r="L127" s="52" t="s">
        <v>260</v>
      </c>
      <c r="M127" s="72"/>
      <c r="N127" s="30"/>
      <c r="O127" s="31">
        <f>+J127-'[1]вересень (2)'!J110</f>
        <v>0</v>
      </c>
      <c r="P127" s="5"/>
      <c r="Q127" s="5">
        <f>+K127-'[1]вересень (2)'!K110</f>
        <v>0</v>
      </c>
      <c r="R127" s="5"/>
      <c r="AE127" s="1">
        <f>+J127-'[1]26.06. +спорт+днз№15'!J127</f>
        <v>0</v>
      </c>
    </row>
    <row r="128" spans="1:31" ht="249" customHeight="1" x14ac:dyDescent="0.45">
      <c r="A128" s="600"/>
      <c r="B128" s="48"/>
      <c r="C128" s="49" t="s">
        <v>261</v>
      </c>
      <c r="D128" s="46" t="s">
        <v>18</v>
      </c>
      <c r="E128" s="46" t="s">
        <v>19</v>
      </c>
      <c r="F128" s="49" t="s">
        <v>67</v>
      </c>
      <c r="G128" s="38">
        <v>0</v>
      </c>
      <c r="H128" s="38">
        <v>0</v>
      </c>
      <c r="I128" s="38">
        <v>0</v>
      </c>
      <c r="J128" s="38">
        <v>0</v>
      </c>
      <c r="K128" s="38">
        <v>0</v>
      </c>
      <c r="L128" s="52" t="s">
        <v>262</v>
      </c>
      <c r="M128" s="72"/>
      <c r="N128" s="30"/>
      <c r="O128" s="31">
        <f>+J128-'[1]вересень (2)'!J111</f>
        <v>0</v>
      </c>
      <c r="P128" s="5"/>
      <c r="Q128" s="5">
        <f>+K128-'[1]вересень (2)'!K111</f>
        <v>0</v>
      </c>
      <c r="R128" s="5"/>
      <c r="AE128" s="1">
        <f>+J128-'[1]26.06. +спорт+днз№15'!J128</f>
        <v>0</v>
      </c>
    </row>
    <row r="129" spans="1:31" ht="391.5" customHeight="1" x14ac:dyDescent="0.45">
      <c r="A129" s="605"/>
      <c r="B129" s="48" t="s">
        <v>263</v>
      </c>
      <c r="C129" s="30" t="s">
        <v>264</v>
      </c>
      <c r="D129" s="47" t="s">
        <v>18</v>
      </c>
      <c r="E129" s="47" t="s">
        <v>19</v>
      </c>
      <c r="F129" s="545" t="s">
        <v>26</v>
      </c>
      <c r="G129" s="43">
        <f>1417.2+1164.7</f>
        <v>2581.9</v>
      </c>
      <c r="H129" s="47">
        <f>2495.7+4577.6+1478.7</f>
        <v>8552</v>
      </c>
      <c r="I129" s="43">
        <f>7483+1535.5-950.1-30.1</f>
        <v>8038.2999999999993</v>
      </c>
      <c r="J129" s="43">
        <f>7053.3+534.7+5088.1+749.9</f>
        <v>13426</v>
      </c>
      <c r="K129" s="43">
        <v>0</v>
      </c>
      <c r="L129" s="606" t="s">
        <v>265</v>
      </c>
      <c r="M129" s="72"/>
      <c r="N129" s="30"/>
      <c r="O129" s="31">
        <f>+J129-'[1]вересень (2)'!J112</f>
        <v>13426</v>
      </c>
      <c r="P129" s="5"/>
      <c r="Q129" s="5">
        <f>+K129-'[1]вересень (2)'!K112</f>
        <v>0</v>
      </c>
      <c r="R129" s="5"/>
      <c r="AE129" s="1">
        <f>+J129-'[1]26.06. +спорт+днз№15'!J129</f>
        <v>5838</v>
      </c>
    </row>
    <row r="130" spans="1:31" ht="285.75" customHeight="1" x14ac:dyDescent="0.45">
      <c r="A130" s="273"/>
      <c r="B130" s="53"/>
      <c r="C130" s="274" t="s">
        <v>266</v>
      </c>
      <c r="D130" s="174" t="s">
        <v>12</v>
      </c>
      <c r="E130" s="46" t="s">
        <v>19</v>
      </c>
      <c r="F130" s="49" t="s">
        <v>26</v>
      </c>
      <c r="G130" s="38">
        <v>0</v>
      </c>
      <c r="H130" s="46">
        <v>0</v>
      </c>
      <c r="I130" s="38">
        <v>950.1</v>
      </c>
      <c r="J130" s="38">
        <v>0</v>
      </c>
      <c r="K130" s="38">
        <v>0</v>
      </c>
      <c r="L130" s="607"/>
      <c r="M130" s="72"/>
      <c r="N130" s="30"/>
      <c r="O130" s="31"/>
      <c r="P130" s="5"/>
      <c r="Q130" s="5"/>
      <c r="R130" s="5"/>
      <c r="AE130" s="1">
        <f>+J130-'[1]26.06. +спорт+днз№15'!J130</f>
        <v>0</v>
      </c>
    </row>
    <row r="131" spans="1:31" ht="215.25" x14ac:dyDescent="0.45">
      <c r="A131" s="275"/>
      <c r="B131" s="48" t="s">
        <v>267</v>
      </c>
      <c r="C131" s="276" t="s">
        <v>268</v>
      </c>
      <c r="D131" s="46" t="s">
        <v>18</v>
      </c>
      <c r="E131" s="46" t="s">
        <v>19</v>
      </c>
      <c r="F131" s="49" t="s">
        <v>67</v>
      </c>
      <c r="G131" s="38">
        <v>0</v>
      </c>
      <c r="H131" s="38">
        <v>0</v>
      </c>
      <c r="I131" s="38">
        <v>0</v>
      </c>
      <c r="J131" s="38">
        <v>0</v>
      </c>
      <c r="K131" s="38">
        <v>0</v>
      </c>
      <c r="L131" s="52" t="s">
        <v>269</v>
      </c>
      <c r="M131" s="72"/>
      <c r="N131" s="30"/>
      <c r="O131" s="31">
        <f>+J131-'[1]вересень (2)'!J113</f>
        <v>0</v>
      </c>
      <c r="P131" s="5"/>
      <c r="Q131" s="5">
        <f>+K131-'[1]вересень (2)'!K113</f>
        <v>0</v>
      </c>
      <c r="R131" s="5"/>
      <c r="AE131" s="1">
        <f>+J131-'[1]26.06. +спорт+днз№15'!J131</f>
        <v>0</v>
      </c>
    </row>
    <row r="132" spans="1:31" ht="123" x14ac:dyDescent="0.45">
      <c r="A132" s="277"/>
      <c r="B132" s="48"/>
      <c r="C132" s="276" t="s">
        <v>270</v>
      </c>
      <c r="D132" s="46" t="s">
        <v>18</v>
      </c>
      <c r="E132" s="46" t="s">
        <v>19</v>
      </c>
      <c r="F132" s="49" t="s">
        <v>67</v>
      </c>
      <c r="G132" s="38">
        <v>0</v>
      </c>
      <c r="H132" s="38">
        <v>0</v>
      </c>
      <c r="I132" s="38">
        <v>0</v>
      </c>
      <c r="J132" s="38">
        <v>0</v>
      </c>
      <c r="K132" s="38">
        <v>0</v>
      </c>
      <c r="L132" s="52" t="s">
        <v>271</v>
      </c>
      <c r="M132" s="72"/>
      <c r="N132" s="30"/>
      <c r="O132" s="31">
        <f>+J132-'[1]вересень (2)'!J114</f>
        <v>0</v>
      </c>
      <c r="P132" s="5"/>
      <c r="Q132" s="5">
        <f>+K132-'[1]вересень (2)'!K114</f>
        <v>0</v>
      </c>
      <c r="R132" s="5"/>
      <c r="AE132" s="1">
        <f>+J132-'[1]26.06. +спорт+днз№15'!J132</f>
        <v>0</v>
      </c>
    </row>
    <row r="133" spans="1:31" ht="333.75" customHeight="1" x14ac:dyDescent="0.45">
      <c r="A133" s="255"/>
      <c r="B133" s="59"/>
      <c r="C133" s="216" t="s">
        <v>272</v>
      </c>
      <c r="D133" s="46" t="s">
        <v>18</v>
      </c>
      <c r="E133" s="46" t="s">
        <v>19</v>
      </c>
      <c r="F133" s="49" t="s">
        <v>67</v>
      </c>
      <c r="G133" s="38">
        <v>0</v>
      </c>
      <c r="H133" s="38">
        <v>0</v>
      </c>
      <c r="I133" s="38">
        <v>0</v>
      </c>
      <c r="J133" s="38">
        <v>0</v>
      </c>
      <c r="K133" s="38">
        <v>0</v>
      </c>
      <c r="L133" s="52" t="s">
        <v>273</v>
      </c>
      <c r="M133" s="72"/>
      <c r="N133" s="30"/>
      <c r="O133" s="31">
        <f>+J133-'[1]вересень (2)'!J115</f>
        <v>0</v>
      </c>
      <c r="P133" s="5"/>
      <c r="Q133" s="5">
        <f>+K133-'[1]вересень (2)'!K115</f>
        <v>0</v>
      </c>
      <c r="R133" s="5"/>
      <c r="AE133" s="1">
        <f>+J133-'[1]26.06. +спорт+днз№15'!J133</f>
        <v>0</v>
      </c>
    </row>
    <row r="134" spans="1:31" ht="195.75" customHeight="1" x14ac:dyDescent="0.45">
      <c r="A134" s="255"/>
      <c r="B134" s="46" t="s">
        <v>274</v>
      </c>
      <c r="C134" s="201" t="s">
        <v>275</v>
      </c>
      <c r="D134" s="46" t="s">
        <v>18</v>
      </c>
      <c r="E134" s="46" t="s">
        <v>19</v>
      </c>
      <c r="F134" s="49" t="s">
        <v>67</v>
      </c>
      <c r="G134" s="38">
        <v>0</v>
      </c>
      <c r="H134" s="38">
        <v>0</v>
      </c>
      <c r="I134" s="38">
        <v>0</v>
      </c>
      <c r="J134" s="38">
        <v>0</v>
      </c>
      <c r="K134" s="38">
        <v>0</v>
      </c>
      <c r="L134" s="52" t="s">
        <v>276</v>
      </c>
      <c r="M134" s="72"/>
      <c r="N134" s="30"/>
      <c r="O134" s="31">
        <f>+J134-'[1]вересень (2)'!J116</f>
        <v>0</v>
      </c>
      <c r="P134" s="5"/>
      <c r="Q134" s="5">
        <f>+K134-'[1]вересень (2)'!K116</f>
        <v>0</v>
      </c>
      <c r="R134" s="5"/>
      <c r="AE134" s="1">
        <f>+J134-'[1]26.06. +спорт+днз№15'!J134</f>
        <v>0</v>
      </c>
    </row>
    <row r="135" spans="1:31" ht="288.75" customHeight="1" x14ac:dyDescent="0.45">
      <c r="A135" s="255"/>
      <c r="B135" s="59"/>
      <c r="C135" s="201" t="s">
        <v>277</v>
      </c>
      <c r="D135" s="46" t="s">
        <v>278</v>
      </c>
      <c r="E135" s="46" t="s">
        <v>19</v>
      </c>
      <c r="F135" s="266" t="s">
        <v>26</v>
      </c>
      <c r="G135" s="236">
        <v>0</v>
      </c>
      <c r="H135" s="38">
        <f>672+260</f>
        <v>932</v>
      </c>
      <c r="I135" s="237">
        <v>288</v>
      </c>
      <c r="J135" s="35">
        <v>60</v>
      </c>
      <c r="K135" s="35" t="s">
        <v>157</v>
      </c>
      <c r="L135" s="52" t="s">
        <v>279</v>
      </c>
      <c r="M135" s="30">
        <v>60</v>
      </c>
      <c r="N135" s="30">
        <f>+M135-J135</f>
        <v>0</v>
      </c>
      <c r="O135" s="31">
        <v>60</v>
      </c>
      <c r="P135" s="5"/>
      <c r="Q135" s="5" t="e">
        <f>+K135-'[1]вересень (2)'!K117</f>
        <v>#VALUE!</v>
      </c>
      <c r="R135" s="5"/>
      <c r="AE135" s="1">
        <f>+J135-'[1]26.06. +спорт+днз№15'!J135</f>
        <v>0</v>
      </c>
    </row>
    <row r="136" spans="1:31" ht="409.5" customHeight="1" x14ac:dyDescent="0.45">
      <c r="A136" s="255"/>
      <c r="B136" s="48" t="s">
        <v>280</v>
      </c>
      <c r="C136" s="216" t="s">
        <v>281</v>
      </c>
      <c r="D136" s="174" t="s">
        <v>12</v>
      </c>
      <c r="E136" s="46" t="s">
        <v>19</v>
      </c>
      <c r="F136" s="134" t="s">
        <v>201</v>
      </c>
      <c r="G136" s="237">
        <v>0</v>
      </c>
      <c r="H136" s="38">
        <v>0</v>
      </c>
      <c r="I136" s="38">
        <v>7293.3</v>
      </c>
      <c r="J136" s="38">
        <v>0</v>
      </c>
      <c r="K136" s="38">
        <v>0</v>
      </c>
      <c r="L136" s="257" t="s">
        <v>282</v>
      </c>
      <c r="M136" s="72"/>
      <c r="N136" s="30"/>
      <c r="O136" s="31">
        <f>+J136-'[1]вересень (2)'!J118</f>
        <v>0</v>
      </c>
      <c r="P136" s="5"/>
      <c r="Q136" s="5">
        <f>+K136-'[1]вересень (2)'!K118</f>
        <v>0</v>
      </c>
      <c r="R136" s="5"/>
      <c r="AE136" s="1">
        <f>+J136-'[1]26.06. +спорт+днз№15'!J136</f>
        <v>0</v>
      </c>
    </row>
    <row r="137" spans="1:31" ht="153.75" x14ac:dyDescent="0.45">
      <c r="A137" s="255"/>
      <c r="B137" s="48"/>
      <c r="C137" s="308" t="s">
        <v>283</v>
      </c>
      <c r="D137" s="174" t="s">
        <v>13</v>
      </c>
      <c r="E137" s="46" t="s">
        <v>19</v>
      </c>
      <c r="F137" s="134" t="s">
        <v>26</v>
      </c>
      <c r="G137" s="237">
        <v>0</v>
      </c>
      <c r="H137" s="38">
        <v>0</v>
      </c>
      <c r="I137" s="38">
        <v>0</v>
      </c>
      <c r="J137" s="278">
        <f>2100+3530.17+3910+3600</f>
        <v>13140.17</v>
      </c>
      <c r="K137" s="38">
        <v>0</v>
      </c>
      <c r="L137" s="257" t="s">
        <v>284</v>
      </c>
      <c r="M137" s="72"/>
      <c r="N137" s="30"/>
      <c r="O137" s="31"/>
      <c r="P137" s="5"/>
      <c r="Q137" s="5"/>
      <c r="R137" s="5"/>
      <c r="AE137" s="1">
        <f>+J137-'[1]26.06. +спорт+днз№15'!J137</f>
        <v>0</v>
      </c>
    </row>
    <row r="138" spans="1:31" ht="42.75" customHeight="1" x14ac:dyDescent="0.45">
      <c r="A138" s="279"/>
      <c r="B138" s="253"/>
      <c r="C138" s="204" t="s">
        <v>63</v>
      </c>
      <c r="D138" s="280"/>
      <c r="E138" s="60"/>
      <c r="F138" s="281"/>
      <c r="G138" s="282">
        <f>ROUND((G77+G78+G79+G80+G82+G90+G91+G92+G93+G120+G123+G124+G125+G126+G127+G128+G108+G109+G110+G111+G113+G1214+G115+G97+G98),1)+G95+G100+G129</f>
        <v>184375</v>
      </c>
      <c r="H138" s="282">
        <f>ROUND((H77+H78+H79+H80+H82+H90+H91+H92+H93+H120+H123+H124+H125+H126+H127+H128+H108+H109+H110+H111+H113+H1214+H115+H97+H98+H129),1)+H135+H121+H100</f>
        <v>188303.19999999998</v>
      </c>
      <c r="I138" s="282">
        <f>ROUND((I77+I78+I79+I80+I82+I90+I91+I92+I93+I120+I123+I124+I125+I126+I127+I128+I108+I109+I110+I111+I113+I1214+I115+I97+I98),1)+I135+I129+I121+I100+I136+I130</f>
        <v>183327.8</v>
      </c>
      <c r="J138" s="282">
        <f>ROUND((J77+J78+J79+J80+J82+J90+J91+J92+J93+J120+J123+J124+J125+J126+J127+J128+J108+J109+J110+J111+J113+J1214+J115+J97+J98),1)+J135+J129+J121+J100+J136+J130+J95+J116+J122+J137+J117</f>
        <v>269800.93</v>
      </c>
      <c r="K138" s="283">
        <f>+K77+K78+K79+K80+K82+K90+K91+K92+K93+K97+K98+K100+K108+K109+K110+K111+K113+K115+K116+K120+K137</f>
        <v>198145.6</v>
      </c>
      <c r="L138" s="284"/>
      <c r="M138" s="285"/>
      <c r="N138" s="106"/>
      <c r="O138" s="31"/>
      <c r="P138" s="5"/>
      <c r="Q138" s="5">
        <f>+K138-'[1]вересень (2)'!K119</f>
        <v>52549.5</v>
      </c>
      <c r="R138" s="5"/>
      <c r="AE138" s="1">
        <f>+J138-'[1]26.06. +спорт+днз№15'!J138</f>
        <v>37187.899999999994</v>
      </c>
    </row>
    <row r="139" spans="1:31" ht="33" customHeight="1" x14ac:dyDescent="0.45">
      <c r="A139" s="212"/>
      <c r="B139" s="48"/>
      <c r="C139" s="608" t="s">
        <v>285</v>
      </c>
      <c r="D139" s="609"/>
      <c r="E139" s="609"/>
      <c r="F139" s="609"/>
      <c r="G139" s="609"/>
      <c r="H139" s="609"/>
      <c r="I139" s="609"/>
      <c r="J139" s="609"/>
      <c r="K139" s="609"/>
      <c r="L139" s="71"/>
      <c r="M139" s="72"/>
      <c r="N139" s="30"/>
      <c r="O139" s="31">
        <f>+J139-'[1]вересень (2)'!J120</f>
        <v>0</v>
      </c>
      <c r="P139" s="5"/>
      <c r="Q139" s="5">
        <f>+K139-'[1]вересень (2)'!K120</f>
        <v>0</v>
      </c>
      <c r="R139" s="5"/>
      <c r="AE139" s="1">
        <f>+J139-'[1]26.06. +спорт+днз№15'!J139</f>
        <v>0</v>
      </c>
    </row>
    <row r="140" spans="1:31" ht="184.5" x14ac:dyDescent="0.45">
      <c r="A140" s="286">
        <v>4</v>
      </c>
      <c r="B140" s="48" t="s">
        <v>286</v>
      </c>
      <c r="C140" s="186" t="s">
        <v>287</v>
      </c>
      <c r="D140" s="132" t="s">
        <v>18</v>
      </c>
      <c r="E140" s="132" t="s">
        <v>19</v>
      </c>
      <c r="F140" s="65" t="s">
        <v>26</v>
      </c>
      <c r="G140" s="287">
        <f>1340+1872.5-1459.8</f>
        <v>1752.7</v>
      </c>
      <c r="H140" s="287">
        <f>1862</f>
        <v>1862</v>
      </c>
      <c r="I140" s="287">
        <f>800</f>
        <v>800</v>
      </c>
      <c r="J140" s="287">
        <f>800</f>
        <v>800</v>
      </c>
      <c r="K140" s="287">
        <f>800</f>
        <v>800</v>
      </c>
      <c r="L140" s="288" t="s">
        <v>288</v>
      </c>
      <c r="M140" s="72"/>
      <c r="N140" s="30"/>
      <c r="O140" s="31">
        <f>+J140-'[1]вересень (2)'!J121</f>
        <v>0</v>
      </c>
      <c r="P140" s="5"/>
      <c r="Q140" s="5">
        <f>+K140-'[1]вересень (2)'!K121</f>
        <v>0</v>
      </c>
      <c r="R140" s="5"/>
      <c r="AE140" s="1">
        <f>+J140-'[1]26.06. +спорт+днз№15'!J140</f>
        <v>0</v>
      </c>
    </row>
    <row r="141" spans="1:31" ht="123" x14ac:dyDescent="0.45">
      <c r="A141" s="212"/>
      <c r="B141" s="59"/>
      <c r="C141" s="156" t="s">
        <v>289</v>
      </c>
      <c r="D141" s="66" t="s">
        <v>18</v>
      </c>
      <c r="E141" s="67" t="s">
        <v>19</v>
      </c>
      <c r="F141" s="65" t="s">
        <v>26</v>
      </c>
      <c r="G141" s="68">
        <v>170</v>
      </c>
      <c r="H141" s="68">
        <v>180</v>
      </c>
      <c r="I141" s="68">
        <v>190</v>
      </c>
      <c r="J141" s="68">
        <v>200</v>
      </c>
      <c r="K141" s="68">
        <v>200</v>
      </c>
      <c r="L141" s="181" t="s">
        <v>290</v>
      </c>
      <c r="M141" s="72"/>
      <c r="N141" s="30"/>
      <c r="O141" s="31">
        <f>+J141-'[1]вересень (2)'!J122</f>
        <v>0</v>
      </c>
      <c r="P141" s="5"/>
      <c r="Q141" s="5">
        <f>+K141-'[1]вересень (2)'!K122</f>
        <v>0</v>
      </c>
      <c r="R141" s="5"/>
      <c r="AE141" s="1">
        <f>+J141-'[1]26.06. +спорт+днз№15'!J141</f>
        <v>0</v>
      </c>
    </row>
    <row r="142" spans="1:31" ht="90.75" customHeight="1" x14ac:dyDescent="0.45">
      <c r="A142" s="212"/>
      <c r="B142" s="48"/>
      <c r="C142" s="72" t="s">
        <v>291</v>
      </c>
      <c r="D142" s="23" t="s">
        <v>18</v>
      </c>
      <c r="E142" s="139" t="s">
        <v>19</v>
      </c>
      <c r="F142" s="140" t="s">
        <v>26</v>
      </c>
      <c r="G142" s="625" t="s">
        <v>292</v>
      </c>
      <c r="H142" s="602"/>
      <c r="I142" s="602"/>
      <c r="J142" s="602"/>
      <c r="K142" s="603"/>
      <c r="L142" s="289" t="s">
        <v>293</v>
      </c>
      <c r="M142" s="72"/>
      <c r="N142" s="30"/>
      <c r="O142" s="31">
        <f>+J142-'[1]вересень (2)'!J123</f>
        <v>0</v>
      </c>
      <c r="P142" s="5"/>
      <c r="Q142" s="5">
        <f>+K142-'[1]вересень (2)'!K123</f>
        <v>0</v>
      </c>
      <c r="R142" s="5"/>
      <c r="AE142" s="1">
        <f>+J142-'[1]26.06. +спорт+днз№15'!J142</f>
        <v>0</v>
      </c>
    </row>
    <row r="143" spans="1:31" ht="105.75" customHeight="1" x14ac:dyDescent="0.45">
      <c r="A143" s="212"/>
      <c r="B143" s="216"/>
      <c r="C143" s="290" t="s">
        <v>294</v>
      </c>
      <c r="D143" s="23" t="s">
        <v>18</v>
      </c>
      <c r="E143" s="121" t="s">
        <v>19</v>
      </c>
      <c r="F143" s="172" t="s">
        <v>26</v>
      </c>
      <c r="G143" s="291">
        <v>750</v>
      </c>
      <c r="H143" s="291">
        <v>800</v>
      </c>
      <c r="I143" s="291">
        <v>820</v>
      </c>
      <c r="J143" s="291">
        <v>850</v>
      </c>
      <c r="K143" s="291">
        <v>850</v>
      </c>
      <c r="L143" s="292" t="s">
        <v>295</v>
      </c>
      <c r="M143" s="72"/>
      <c r="N143" s="30"/>
      <c r="O143" s="31">
        <f>+J143-'[1]вересень (2)'!J124</f>
        <v>0</v>
      </c>
      <c r="P143" s="5"/>
      <c r="Q143" s="5">
        <f>+K143-'[1]вересень (2)'!K124</f>
        <v>0</v>
      </c>
      <c r="R143" s="5"/>
      <c r="AE143" s="1">
        <f>+J143-'[1]26.06. +спорт+днз№15'!J143</f>
        <v>0</v>
      </c>
    </row>
    <row r="144" spans="1:31" ht="215.25" x14ac:dyDescent="0.45">
      <c r="A144" s="212"/>
      <c r="B144" s="216"/>
      <c r="C144" s="293" t="s">
        <v>296</v>
      </c>
      <c r="D144" s="23" t="s">
        <v>18</v>
      </c>
      <c r="E144" s="139" t="s">
        <v>19</v>
      </c>
      <c r="F144" s="294" t="s">
        <v>26</v>
      </c>
      <c r="G144" s="295">
        <v>70</v>
      </c>
      <c r="H144" s="295">
        <v>70</v>
      </c>
      <c r="I144" s="295">
        <v>70</v>
      </c>
      <c r="J144" s="295">
        <v>70</v>
      </c>
      <c r="K144" s="295">
        <v>70</v>
      </c>
      <c r="L144" s="71" t="s">
        <v>297</v>
      </c>
      <c r="M144" s="72"/>
      <c r="N144" s="30"/>
      <c r="O144" s="31">
        <f>+J144-'[1]вересень (2)'!J125</f>
        <v>0</v>
      </c>
      <c r="P144" s="5"/>
      <c r="Q144" s="5">
        <f>+K144-'[1]вересень (2)'!K125</f>
        <v>0</v>
      </c>
      <c r="R144" s="5"/>
      <c r="AE144" s="1">
        <f>+J144-'[1]26.06. +спорт+днз№15'!J144</f>
        <v>0</v>
      </c>
    </row>
    <row r="145" spans="1:31" ht="215.25" x14ac:dyDescent="0.45">
      <c r="A145" s="264"/>
      <c r="B145" s="216"/>
      <c r="C145" s="120" t="s">
        <v>298</v>
      </c>
      <c r="D145" s="132" t="s">
        <v>18</v>
      </c>
      <c r="E145" s="121" t="s">
        <v>19</v>
      </c>
      <c r="F145" s="172" t="s">
        <v>67</v>
      </c>
      <c r="G145" s="198">
        <v>0</v>
      </c>
      <c r="H145" s="198">
        <v>0</v>
      </c>
      <c r="I145" s="198">
        <v>0</v>
      </c>
      <c r="J145" s="198">
        <v>0</v>
      </c>
      <c r="K145" s="198">
        <v>0</v>
      </c>
      <c r="L145" s="296" t="s">
        <v>299</v>
      </c>
      <c r="M145" s="113"/>
      <c r="N145" s="30"/>
      <c r="O145" s="31">
        <f>+J145-'[1]вересень (2)'!J126</f>
        <v>0</v>
      </c>
      <c r="P145" s="5"/>
      <c r="Q145" s="5">
        <f>+K145-'[1]вересень (2)'!K126</f>
        <v>0</v>
      </c>
      <c r="R145" s="5"/>
      <c r="AE145" s="1">
        <f>+J145-'[1]26.06. +спорт+днз№15'!J145</f>
        <v>0</v>
      </c>
    </row>
    <row r="146" spans="1:31" ht="246.75" customHeight="1" x14ac:dyDescent="0.45">
      <c r="A146" s="264"/>
      <c r="B146" s="297"/>
      <c r="C146" s="298" t="s">
        <v>300</v>
      </c>
      <c r="D146" s="67" t="s">
        <v>18</v>
      </c>
      <c r="E146" s="67" t="s">
        <v>19</v>
      </c>
      <c r="F146" s="65" t="s">
        <v>67</v>
      </c>
      <c r="G146" s="157">
        <v>0</v>
      </c>
      <c r="H146" s="157">
        <v>0</v>
      </c>
      <c r="I146" s="157">
        <v>0</v>
      </c>
      <c r="J146" s="157">
        <v>0</v>
      </c>
      <c r="K146" s="157">
        <v>0</v>
      </c>
      <c r="L146" s="299" t="s">
        <v>301</v>
      </c>
      <c r="M146" s="113"/>
      <c r="N146" s="30"/>
      <c r="O146" s="31">
        <f>+J146-'[1]вересень (2)'!J127</f>
        <v>0</v>
      </c>
      <c r="P146" s="5"/>
      <c r="Q146" s="5">
        <f>+K146-'[1]вересень (2)'!K127</f>
        <v>0</v>
      </c>
      <c r="R146" s="5"/>
      <c r="AE146" s="1">
        <f>+J146-'[1]26.06. +спорт+днз№15'!J146</f>
        <v>0</v>
      </c>
    </row>
    <row r="147" spans="1:31" ht="195" customHeight="1" x14ac:dyDescent="0.45">
      <c r="A147" s="300"/>
      <c r="B147" s="216" t="s">
        <v>302</v>
      </c>
      <c r="C147" s="197" t="s">
        <v>303</v>
      </c>
      <c r="D147" s="121" t="s">
        <v>18</v>
      </c>
      <c r="E147" s="121" t="s">
        <v>19</v>
      </c>
      <c r="F147" s="172" t="s">
        <v>26</v>
      </c>
      <c r="G147" s="291">
        <v>900</v>
      </c>
      <c r="H147" s="291">
        <v>2136</v>
      </c>
      <c r="I147" s="291">
        <f>900+500</f>
        <v>1400</v>
      </c>
      <c r="J147" s="291">
        <f>900+947.3+350</f>
        <v>2197.3000000000002</v>
      </c>
      <c r="K147" s="291">
        <v>900</v>
      </c>
      <c r="L147" s="301" t="s">
        <v>304</v>
      </c>
      <c r="M147" s="30"/>
      <c r="N147" s="30"/>
      <c r="O147" s="31">
        <f>+J147-'[1]вересень (2)'!J128</f>
        <v>1297.3000000000002</v>
      </c>
      <c r="P147" s="5"/>
      <c r="Q147" s="5">
        <f>+K147-'[1]вересень (2)'!K128</f>
        <v>0</v>
      </c>
      <c r="R147" s="5"/>
      <c r="AE147" s="1">
        <f>+J147-'[1]26.06. +спорт+днз№15'!J147</f>
        <v>0</v>
      </c>
    </row>
    <row r="148" spans="1:31" ht="288.75" customHeight="1" x14ac:dyDescent="0.45">
      <c r="A148" s="212"/>
      <c r="B148" s="253" t="s">
        <v>305</v>
      </c>
      <c r="C148" s="302" t="s">
        <v>306</v>
      </c>
      <c r="D148" s="66" t="s">
        <v>18</v>
      </c>
      <c r="E148" s="60" t="s">
        <v>19</v>
      </c>
      <c r="F148" s="213" t="s">
        <v>26</v>
      </c>
      <c r="G148" s="303">
        <v>50</v>
      </c>
      <c r="H148" s="75">
        <v>20</v>
      </c>
      <c r="I148" s="303">
        <v>10</v>
      </c>
      <c r="J148" s="303">
        <v>10</v>
      </c>
      <c r="K148" s="303">
        <v>10</v>
      </c>
      <c r="L148" s="143" t="s">
        <v>307</v>
      </c>
      <c r="M148" s="30"/>
      <c r="N148" s="30"/>
      <c r="O148" s="31">
        <f>+J148-'[1]вересень (2)'!J129</f>
        <v>0</v>
      </c>
      <c r="P148" s="5"/>
      <c r="Q148" s="5">
        <f>+K148-'[1]вересень (2)'!K129</f>
        <v>0</v>
      </c>
      <c r="R148" s="5"/>
      <c r="AE148" s="1">
        <f>+J148-'[1]26.06. +спорт+днз№15'!J148</f>
        <v>0</v>
      </c>
    </row>
    <row r="149" spans="1:31" ht="153.75" customHeight="1" x14ac:dyDescent="0.45">
      <c r="A149" s="212"/>
      <c r="B149" s="256"/>
      <c r="C149" s="304" t="s">
        <v>308</v>
      </c>
      <c r="D149" s="23" t="s">
        <v>18</v>
      </c>
      <c r="E149" s="46" t="s">
        <v>19</v>
      </c>
      <c r="F149" s="49" t="s">
        <v>26</v>
      </c>
      <c r="G149" s="303">
        <v>600</v>
      </c>
      <c r="H149" s="75">
        <v>0</v>
      </c>
      <c r="I149" s="303">
        <v>0</v>
      </c>
      <c r="J149" s="303">
        <v>0</v>
      </c>
      <c r="K149" s="303">
        <v>0</v>
      </c>
      <c r="L149" s="169" t="s">
        <v>309</v>
      </c>
      <c r="M149" s="30"/>
      <c r="N149" s="30"/>
      <c r="O149" s="31">
        <f>+J149-'[1]вересень (2)'!J130</f>
        <v>0</v>
      </c>
      <c r="P149" s="5"/>
      <c r="Q149" s="5">
        <f>+K149-'[1]вересень (2)'!K130</f>
        <v>0</v>
      </c>
      <c r="R149" s="5"/>
      <c r="AE149" s="1">
        <f>+J149-'[1]26.06. +спорт+днз№15'!J149</f>
        <v>0</v>
      </c>
    </row>
    <row r="150" spans="1:31" ht="92.25" x14ac:dyDescent="0.45">
      <c r="A150" s="212"/>
      <c r="B150" s="256"/>
      <c r="C150" s="304" t="s">
        <v>310</v>
      </c>
      <c r="D150" s="23" t="s">
        <v>18</v>
      </c>
      <c r="E150" s="46" t="s">
        <v>19</v>
      </c>
      <c r="F150" s="49" t="s">
        <v>26</v>
      </c>
      <c r="G150" s="626" t="s">
        <v>112</v>
      </c>
      <c r="H150" s="626"/>
      <c r="I150" s="626"/>
      <c r="J150" s="626"/>
      <c r="K150" s="626"/>
      <c r="L150" s="305" t="s">
        <v>114</v>
      </c>
      <c r="M150" s="260"/>
      <c r="N150" s="30"/>
      <c r="O150" s="31">
        <f>+J150-'[1]вересень (2)'!J131</f>
        <v>0</v>
      </c>
      <c r="P150" s="5"/>
      <c r="Q150" s="5">
        <f>+K150-'[1]вересень (2)'!K131</f>
        <v>0</v>
      </c>
      <c r="R150" s="5"/>
      <c r="AE150" s="1">
        <f>+J150-'[1]26.06. +спорт+днз№15'!J150</f>
        <v>0</v>
      </c>
    </row>
    <row r="151" spans="1:31" ht="98.25" customHeight="1" x14ac:dyDescent="0.45">
      <c r="A151" s="212"/>
      <c r="B151" s="256"/>
      <c r="C151" s="304" t="s">
        <v>311</v>
      </c>
      <c r="D151" s="23" t="s">
        <v>18</v>
      </c>
      <c r="E151" s="46" t="s">
        <v>19</v>
      </c>
      <c r="F151" s="49" t="s">
        <v>26</v>
      </c>
      <c r="G151" s="627" t="s">
        <v>112</v>
      </c>
      <c r="H151" s="627"/>
      <c r="I151" s="627"/>
      <c r="J151" s="627"/>
      <c r="K151" s="627"/>
      <c r="L151" s="261" t="s">
        <v>116</v>
      </c>
      <c r="M151" s="164"/>
      <c r="N151" s="30"/>
      <c r="O151" s="31">
        <f>+J151-'[1]вересень (2)'!J132</f>
        <v>0</v>
      </c>
      <c r="P151" s="5"/>
      <c r="Q151" s="5">
        <f>+K151-'[1]вересень (2)'!K132</f>
        <v>0</v>
      </c>
      <c r="R151" s="5"/>
      <c r="AE151" s="1">
        <f>+J151-'[1]26.06. +спорт+днз№15'!J151</f>
        <v>0</v>
      </c>
    </row>
    <row r="152" spans="1:31" ht="180" customHeight="1" x14ac:dyDescent="0.45">
      <c r="A152" s="212"/>
      <c r="B152" s="256"/>
      <c r="C152" s="302" t="s">
        <v>312</v>
      </c>
      <c r="D152" s="24" t="s">
        <v>18</v>
      </c>
      <c r="E152" s="127" t="s">
        <v>19</v>
      </c>
      <c r="F152" s="128" t="s">
        <v>26</v>
      </c>
      <c r="G152" s="306">
        <v>20</v>
      </c>
      <c r="H152" s="306">
        <v>21</v>
      </c>
      <c r="I152" s="306">
        <v>22</v>
      </c>
      <c r="J152" s="306">
        <v>23</v>
      </c>
      <c r="K152" s="306">
        <v>24</v>
      </c>
      <c r="L152" s="261" t="s">
        <v>116</v>
      </c>
      <c r="M152" s="164"/>
      <c r="N152" s="30"/>
      <c r="O152" s="31">
        <f>+J152-'[1]вересень (2)'!J133</f>
        <v>0</v>
      </c>
      <c r="P152" s="5"/>
      <c r="Q152" s="5">
        <f>+K152-'[1]вересень (2)'!K133</f>
        <v>0</v>
      </c>
      <c r="R152" s="5"/>
      <c r="AE152" s="1">
        <f>+J152-'[1]26.06. +спорт+днз№15'!J152</f>
        <v>0</v>
      </c>
    </row>
    <row r="153" spans="1:31" ht="117.75" customHeight="1" x14ac:dyDescent="0.45">
      <c r="A153" s="264"/>
      <c r="B153" s="256"/>
      <c r="C153" s="192" t="s">
        <v>313</v>
      </c>
      <c r="D153" s="46" t="s">
        <v>18</v>
      </c>
      <c r="E153" s="46" t="s">
        <v>19</v>
      </c>
      <c r="F153" s="49" t="s">
        <v>26</v>
      </c>
      <c r="G153" s="39">
        <v>200</v>
      </c>
      <c r="H153" s="39">
        <v>200</v>
      </c>
      <c r="I153" s="39">
        <v>200</v>
      </c>
      <c r="J153" s="39">
        <v>200</v>
      </c>
      <c r="K153" s="39">
        <v>200</v>
      </c>
      <c r="L153" s="40" t="s">
        <v>120</v>
      </c>
      <c r="M153" s="30"/>
      <c r="N153" s="30"/>
      <c r="O153" s="31">
        <f>+J153-'[1]вересень (2)'!J134</f>
        <v>0</v>
      </c>
      <c r="P153" s="5"/>
      <c r="Q153" s="5">
        <f>+K153-'[1]вересень (2)'!K134</f>
        <v>0</v>
      </c>
      <c r="R153" s="5"/>
      <c r="AE153" s="1">
        <f>+J153-'[1]26.06. +спорт+днз№15'!J153</f>
        <v>0</v>
      </c>
    </row>
    <row r="154" spans="1:31" ht="111" customHeight="1" x14ac:dyDescent="0.45">
      <c r="A154" s="264"/>
      <c r="B154" s="254"/>
      <c r="C154" s="230" t="s">
        <v>314</v>
      </c>
      <c r="D154" s="60" t="s">
        <v>18</v>
      </c>
      <c r="E154" s="60" t="s">
        <v>19</v>
      </c>
      <c r="F154" s="213" t="s">
        <v>26</v>
      </c>
      <c r="G154" s="306">
        <v>80</v>
      </c>
      <c r="H154" s="307">
        <v>40</v>
      </c>
      <c r="I154" s="139">
        <v>40</v>
      </c>
      <c r="J154" s="139">
        <v>0</v>
      </c>
      <c r="K154" s="239">
        <v>0</v>
      </c>
      <c r="L154" s="171" t="s">
        <v>229</v>
      </c>
      <c r="M154" s="30"/>
      <c r="N154" s="30"/>
      <c r="O154" s="31">
        <f>+J154-'[1]вересень (2)'!J135</f>
        <v>0</v>
      </c>
      <c r="P154" s="5"/>
      <c r="Q154" s="5">
        <f>+K154-'[1]вересень (2)'!K135</f>
        <v>0</v>
      </c>
      <c r="R154" s="5"/>
      <c r="AE154" s="1">
        <f>+J154-'[1]26.06. +спорт+днз№15'!J154</f>
        <v>0</v>
      </c>
    </row>
    <row r="155" spans="1:31" ht="307.5" x14ac:dyDescent="0.45">
      <c r="A155" s="264"/>
      <c r="B155" s="46" t="s">
        <v>315</v>
      </c>
      <c r="C155" s="201" t="s">
        <v>316</v>
      </c>
      <c r="D155" s="132" t="s">
        <v>156</v>
      </c>
      <c r="E155" s="60" t="s">
        <v>19</v>
      </c>
      <c r="F155" s="213" t="s">
        <v>26</v>
      </c>
      <c r="G155" s="39">
        <v>0</v>
      </c>
      <c r="H155" s="46">
        <v>0</v>
      </c>
      <c r="I155" s="46">
        <v>32.5</v>
      </c>
      <c r="J155" s="35">
        <v>22.5</v>
      </c>
      <c r="K155" s="35" t="s">
        <v>157</v>
      </c>
      <c r="L155" s="52" t="s">
        <v>317</v>
      </c>
      <c r="M155" s="30">
        <v>22.5</v>
      </c>
      <c r="N155" s="30">
        <f>+M155-J155</f>
        <v>0</v>
      </c>
      <c r="O155" s="31">
        <v>22.5</v>
      </c>
      <c r="P155" s="5"/>
      <c r="Q155" s="5" t="e">
        <f>+K155-'[1]вересень (2)'!K136</f>
        <v>#VALUE!</v>
      </c>
      <c r="R155" s="5"/>
      <c r="AE155" s="1">
        <f>+J155-'[1]26.06. +спорт+днз№15'!J155</f>
        <v>0</v>
      </c>
    </row>
    <row r="156" spans="1:31" ht="42" customHeight="1" x14ac:dyDescent="0.45">
      <c r="A156" s="264"/>
      <c r="B156" s="308"/>
      <c r="C156" s="309" t="s">
        <v>63</v>
      </c>
      <c r="D156" s="310"/>
      <c r="E156" s="310"/>
      <c r="F156" s="311"/>
      <c r="G156" s="312">
        <f>G140+G141+G143+G144+G145+G147+G148+G149+G152+G153+G154+G155</f>
        <v>4592.7</v>
      </c>
      <c r="H156" s="312">
        <f>H140+H141+H143+H144+H145+H147+H148+H149+H152+H153+H154+H155</f>
        <v>5329</v>
      </c>
      <c r="I156" s="312">
        <f>I140+I141+I143+I144+I145+I147+I148+I149+I152+I153+I154+I155</f>
        <v>3584.5</v>
      </c>
      <c r="J156" s="312">
        <f>J140+J141+J143+J144+J145+J147+J148+J149+J152+J153+J154+J155</f>
        <v>4372.8</v>
      </c>
      <c r="K156" s="312">
        <f>K140+K141+K143+K144+K145+K147+K148+K149+K152+K153+K154</f>
        <v>3054</v>
      </c>
      <c r="L156" s="313"/>
      <c r="M156" s="314"/>
      <c r="N156" s="106"/>
      <c r="O156" s="31"/>
      <c r="P156" s="5"/>
      <c r="Q156" s="5">
        <f>+K156-'[1]вересень (2)'!K137</f>
        <v>0</v>
      </c>
      <c r="R156" s="5"/>
      <c r="AE156" s="1">
        <f>+J156-'[1]26.06. +спорт+днз№15'!J156</f>
        <v>0</v>
      </c>
    </row>
    <row r="157" spans="1:31" ht="40.5" customHeight="1" x14ac:dyDescent="0.45">
      <c r="A157" s="315"/>
      <c r="B157" s="48"/>
      <c r="C157" s="608" t="s">
        <v>318</v>
      </c>
      <c r="D157" s="609"/>
      <c r="E157" s="609"/>
      <c r="F157" s="609"/>
      <c r="G157" s="609"/>
      <c r="H157" s="609"/>
      <c r="I157" s="609"/>
      <c r="J157" s="609"/>
      <c r="K157" s="609"/>
      <c r="L157" s="71"/>
      <c r="M157" s="72"/>
      <c r="N157" s="30"/>
      <c r="O157" s="31">
        <f>+J157-'[1]вересень (2)'!J138</f>
        <v>0</v>
      </c>
      <c r="P157" s="5"/>
      <c r="Q157" s="5">
        <f>+K157-'[1]вересень (2)'!K138</f>
        <v>0</v>
      </c>
      <c r="R157" s="5"/>
      <c r="AE157" s="1">
        <f>+J157-'[1]26.06. +спорт+днз№15'!J157</f>
        <v>0</v>
      </c>
    </row>
    <row r="158" spans="1:31" ht="184.5" x14ac:dyDescent="0.45">
      <c r="A158" s="286">
        <v>5</v>
      </c>
      <c r="B158" s="48" t="s">
        <v>319</v>
      </c>
      <c r="C158" s="316" t="s">
        <v>320</v>
      </c>
      <c r="D158" s="132" t="s">
        <v>18</v>
      </c>
      <c r="E158" s="46" t="s">
        <v>19</v>
      </c>
      <c r="F158" s="49" t="s">
        <v>26</v>
      </c>
      <c r="G158" s="287">
        <v>155858.70000000001</v>
      </c>
      <c r="H158" s="287">
        <v>164119.20000000001</v>
      </c>
      <c r="I158" s="287">
        <v>172325.2</v>
      </c>
      <c r="J158" s="317">
        <f>ROUND(I158*1.1,0)</f>
        <v>189558</v>
      </c>
      <c r="K158" s="317">
        <f>ROUND(J158*1.1,0)</f>
        <v>208514</v>
      </c>
      <c r="L158" s="288" t="s">
        <v>321</v>
      </c>
      <c r="M158" s="30">
        <f>154993.2+10058</f>
        <v>165051.20000000001</v>
      </c>
      <c r="N158" s="30">
        <f>+J158-M158</f>
        <v>24506.799999999988</v>
      </c>
      <c r="O158" s="31">
        <f>+J158-'[1]вересень (2)'!J139</f>
        <v>0</v>
      </c>
      <c r="P158" s="32"/>
      <c r="Q158" s="5">
        <f>+K158-'[1]вересень (2)'!K139</f>
        <v>0</v>
      </c>
      <c r="R158" s="5"/>
      <c r="AE158" s="1">
        <f>+J158-'[1]26.06. +спорт+днз№15'!J158</f>
        <v>0</v>
      </c>
    </row>
    <row r="159" spans="1:31" ht="316.5" customHeight="1" x14ac:dyDescent="0.45">
      <c r="A159" s="83"/>
      <c r="B159" s="59"/>
      <c r="C159" s="49" t="s">
        <v>322</v>
      </c>
      <c r="D159" s="46" t="s">
        <v>18</v>
      </c>
      <c r="E159" s="46" t="s">
        <v>19</v>
      </c>
      <c r="F159" s="318" t="s">
        <v>323</v>
      </c>
      <c r="G159" s="39">
        <v>16483.8</v>
      </c>
      <c r="H159" s="37">
        <v>17595</v>
      </c>
      <c r="I159" s="37">
        <v>18242.599999999999</v>
      </c>
      <c r="J159" s="39">
        <f>ROUND(I159*1.1,0)</f>
        <v>20067</v>
      </c>
      <c r="K159" s="39">
        <f>ROUND(J159*1.1,0)</f>
        <v>22074</v>
      </c>
      <c r="L159" s="52" t="s">
        <v>324</v>
      </c>
      <c r="M159" s="30">
        <v>17800.599999999999</v>
      </c>
      <c r="N159" s="30">
        <f>+J159-M159</f>
        <v>2266.4000000000015</v>
      </c>
      <c r="O159" s="31">
        <f>+J159-'[1]вересень (2)'!J140</f>
        <v>0</v>
      </c>
      <c r="P159" s="32"/>
      <c r="Q159" s="5">
        <f>+K159-'[1]вересень (2)'!K140</f>
        <v>0</v>
      </c>
      <c r="R159" s="5"/>
      <c r="AE159" s="1">
        <f>+J159-'[1]26.06. +спорт+днз№15'!J159</f>
        <v>0</v>
      </c>
    </row>
    <row r="160" spans="1:31" ht="93.75" customHeight="1" x14ac:dyDescent="0.45">
      <c r="A160" s="319"/>
      <c r="B160" s="320"/>
      <c r="C160" s="628" t="s">
        <v>325</v>
      </c>
      <c r="D160" s="307" t="s">
        <v>18</v>
      </c>
      <c r="E160" s="139" t="s">
        <v>19</v>
      </c>
      <c r="F160" s="630" t="s">
        <v>326</v>
      </c>
      <c r="G160" s="321">
        <v>1290</v>
      </c>
      <c r="H160" s="322">
        <v>0</v>
      </c>
      <c r="I160" s="306">
        <f>3851.2+1700</f>
        <v>5551.2</v>
      </c>
      <c r="J160" s="631">
        <v>22300</v>
      </c>
      <c r="K160" s="72" t="s">
        <v>327</v>
      </c>
      <c r="L160" s="323" t="s">
        <v>328</v>
      </c>
      <c r="M160" s="30"/>
      <c r="N160" s="30"/>
      <c r="O160" s="31">
        <v>0</v>
      </c>
      <c r="P160" s="5"/>
      <c r="Q160" s="5" t="e">
        <f>+K160-'[1]вересень (2)'!K141</f>
        <v>#VALUE!</v>
      </c>
      <c r="R160" s="5"/>
      <c r="AE160" s="1">
        <f>+J160-'[1]26.06. +спорт+днз№15'!J160</f>
        <v>0</v>
      </c>
    </row>
    <row r="161" spans="1:32" ht="409.5" customHeight="1" x14ac:dyDescent="0.45">
      <c r="A161" s="600"/>
      <c r="B161" s="324"/>
      <c r="C161" s="629"/>
      <c r="D161" s="307"/>
      <c r="E161" s="139"/>
      <c r="F161" s="630"/>
      <c r="G161" s="321"/>
      <c r="H161" s="322"/>
      <c r="I161" s="322"/>
      <c r="J161" s="632"/>
      <c r="K161" s="325"/>
      <c r="L161" s="57" t="s">
        <v>329</v>
      </c>
      <c r="M161" s="72"/>
      <c r="N161" s="30"/>
      <c r="O161" s="31">
        <f>+J161-'[1]вересень (2)'!J142</f>
        <v>0</v>
      </c>
      <c r="P161" s="5"/>
      <c r="Q161" s="5">
        <f>+K161-'[1]вересень (2)'!K142</f>
        <v>0</v>
      </c>
      <c r="R161" s="5"/>
      <c r="AE161" s="1">
        <f>+J161-'[1]26.06. +спорт+днз№15'!J161</f>
        <v>0</v>
      </c>
      <c r="AF161" s="550" t="s">
        <v>330</v>
      </c>
    </row>
    <row r="162" spans="1:32" ht="52.5" customHeight="1" x14ac:dyDescent="0.45">
      <c r="A162" s="600"/>
      <c r="B162" s="324"/>
      <c r="C162" s="629"/>
      <c r="D162" s="307"/>
      <c r="E162" s="139"/>
      <c r="F162" s="630"/>
      <c r="G162" s="321"/>
      <c r="H162" s="322"/>
      <c r="I162" s="322"/>
      <c r="J162" s="632"/>
      <c r="K162" s="325"/>
      <c r="L162" s="326"/>
      <c r="M162" s="327"/>
      <c r="N162" s="328"/>
      <c r="O162" s="31">
        <f>+J162-'[1]вересень (2)'!J143</f>
        <v>0</v>
      </c>
      <c r="P162" s="5"/>
      <c r="Q162" s="5">
        <f>+K162-'[1]вересень (2)'!K143</f>
        <v>0</v>
      </c>
      <c r="R162" s="5"/>
      <c r="AE162" s="1">
        <f>+J162-'[1]26.06. +спорт+днз№15'!J162</f>
        <v>0</v>
      </c>
    </row>
    <row r="163" spans="1:32" ht="15" customHeight="1" x14ac:dyDescent="0.45">
      <c r="A163" s="319"/>
      <c r="B163" s="329"/>
      <c r="C163" s="330"/>
      <c r="D163" s="331"/>
      <c r="E163" s="67"/>
      <c r="F163" s="332"/>
      <c r="G163" s="333"/>
      <c r="H163" s="231"/>
      <c r="I163" s="231"/>
      <c r="J163" s="633"/>
      <c r="K163" s="334"/>
      <c r="L163" s="335"/>
      <c r="M163" s="327"/>
      <c r="N163" s="328"/>
      <c r="O163" s="31">
        <f>+J163-'[1]вересень (2)'!J144</f>
        <v>0</v>
      </c>
      <c r="P163" s="5"/>
      <c r="Q163" s="5">
        <f>+K163-'[1]вересень (2)'!K144</f>
        <v>0</v>
      </c>
      <c r="R163" s="5"/>
      <c r="AE163" s="1">
        <f>+J163-'[1]26.06. +спорт+днз№15'!J163</f>
        <v>0</v>
      </c>
    </row>
    <row r="164" spans="1:32" ht="155.25" customHeight="1" x14ac:dyDescent="0.45">
      <c r="A164" s="319"/>
      <c r="B164" s="216"/>
      <c r="C164" s="336" t="s">
        <v>331</v>
      </c>
      <c r="D164" s="23" t="s">
        <v>18</v>
      </c>
      <c r="E164" s="24" t="s">
        <v>19</v>
      </c>
      <c r="F164" s="79" t="s">
        <v>67</v>
      </c>
      <c r="G164" s="25">
        <v>0</v>
      </c>
      <c r="H164" s="295">
        <v>0</v>
      </c>
      <c r="I164" s="295">
        <v>0</v>
      </c>
      <c r="J164" s="295">
        <v>0</v>
      </c>
      <c r="K164" s="295">
        <v>0</v>
      </c>
      <c r="L164" s="169" t="s">
        <v>332</v>
      </c>
      <c r="M164" s="30"/>
      <c r="N164" s="30"/>
      <c r="O164" s="31">
        <f>+J164-'[1]вересень (2)'!J146</f>
        <v>0</v>
      </c>
      <c r="P164" s="5"/>
      <c r="Q164" s="5">
        <f>+K164-'[1]вересень (2)'!K146</f>
        <v>0</v>
      </c>
      <c r="R164" s="5"/>
      <c r="AE164" s="1">
        <f>+J164-'[1]26.06. +спорт+днз№15'!J164</f>
        <v>0</v>
      </c>
    </row>
    <row r="165" spans="1:32" ht="152.25" customHeight="1" x14ac:dyDescent="0.45">
      <c r="A165" s="319"/>
      <c r="B165" s="337"/>
      <c r="C165" s="338" t="s">
        <v>333</v>
      </c>
      <c r="D165" s="36" t="s">
        <v>18</v>
      </c>
      <c r="E165" s="46" t="s">
        <v>19</v>
      </c>
      <c r="F165" s="49" t="s">
        <v>67</v>
      </c>
      <c r="G165" s="37">
        <v>0</v>
      </c>
      <c r="H165" s="37">
        <v>0</v>
      </c>
      <c r="I165" s="37">
        <v>0</v>
      </c>
      <c r="J165" s="37">
        <v>0</v>
      </c>
      <c r="K165" s="37">
        <v>0</v>
      </c>
      <c r="L165" s="49" t="s">
        <v>334</v>
      </c>
      <c r="M165" s="30"/>
      <c r="N165" s="30"/>
      <c r="O165" s="31">
        <f>+J165-'[1]вересень (2)'!J147</f>
        <v>0</v>
      </c>
      <c r="P165" s="5"/>
      <c r="Q165" s="5">
        <f>+K165-'[1]вересень (2)'!K147</f>
        <v>0</v>
      </c>
      <c r="R165" s="5"/>
      <c r="AE165" s="1">
        <f>+J165-'[1]26.06. +спорт+днз№15'!J165</f>
        <v>0</v>
      </c>
    </row>
    <row r="166" spans="1:32" ht="248.25" customHeight="1" x14ac:dyDescent="0.45">
      <c r="A166" s="319"/>
      <c r="B166" s="337"/>
      <c r="C166" s="86" t="s">
        <v>335</v>
      </c>
      <c r="D166" s="47" t="s">
        <v>13</v>
      </c>
      <c r="E166" s="47" t="s">
        <v>19</v>
      </c>
      <c r="F166" s="86" t="s">
        <v>26</v>
      </c>
      <c r="G166" s="339">
        <v>0</v>
      </c>
      <c r="H166" s="295">
        <v>0</v>
      </c>
      <c r="I166" s="295">
        <v>0</v>
      </c>
      <c r="J166" s="295">
        <v>15000</v>
      </c>
      <c r="K166" s="295">
        <v>0</v>
      </c>
      <c r="L166" s="143" t="s">
        <v>336</v>
      </c>
      <c r="M166" s="30"/>
      <c r="N166" s="30"/>
      <c r="O166" s="31"/>
      <c r="P166" s="5"/>
      <c r="Q166" s="5"/>
      <c r="R166" s="5"/>
      <c r="AE166" s="1">
        <f>+J166-'[1]26.06. +спорт+днз№15'!J166</f>
        <v>0</v>
      </c>
    </row>
    <row r="167" spans="1:32" ht="248.25" customHeight="1" x14ac:dyDescent="0.45">
      <c r="A167" s="319"/>
      <c r="B167" s="216"/>
      <c r="C167" s="486" t="s">
        <v>337</v>
      </c>
      <c r="D167" s="46" t="s">
        <v>13</v>
      </c>
      <c r="E167" s="46" t="s">
        <v>19</v>
      </c>
      <c r="F167" s="49" t="s">
        <v>26</v>
      </c>
      <c r="G167" s="37">
        <v>0</v>
      </c>
      <c r="H167" s="37">
        <v>0</v>
      </c>
      <c r="I167" s="37">
        <v>0</v>
      </c>
      <c r="J167" s="37">
        <v>972.1</v>
      </c>
      <c r="K167" s="37">
        <v>0</v>
      </c>
      <c r="L167" s="49" t="s">
        <v>338</v>
      </c>
      <c r="M167" s="30"/>
      <c r="N167" s="30"/>
      <c r="O167" s="31"/>
      <c r="P167" s="5"/>
      <c r="Q167" s="5"/>
      <c r="R167" s="5"/>
    </row>
    <row r="168" spans="1:32" ht="45.75" customHeight="1" x14ac:dyDescent="0.45">
      <c r="A168" s="340"/>
      <c r="B168" s="179"/>
      <c r="C168" s="341" t="s">
        <v>63</v>
      </c>
      <c r="D168" s="342"/>
      <c r="E168" s="342"/>
      <c r="F168" s="172"/>
      <c r="G168" s="343">
        <f>G158+G159+G164+G165+G160</f>
        <v>173632.5</v>
      </c>
      <c r="H168" s="343">
        <f>H158+H159+H164+H165</f>
        <v>181714.2</v>
      </c>
      <c r="I168" s="343">
        <f>I158+I159+I164+I165+I160</f>
        <v>196119.00000000003</v>
      </c>
      <c r="J168" s="343">
        <f>J158+J159+J164+J165+J166+J160+J167</f>
        <v>247897.1</v>
      </c>
      <c r="K168" s="343">
        <f>K158+K159+K164+K165</f>
        <v>230588</v>
      </c>
      <c r="L168" s="344"/>
      <c r="M168" s="62"/>
      <c r="N168" s="30"/>
      <c r="O168" s="31">
        <f>+J168-'[1]вересень (2)'!J148</f>
        <v>38272.100000000006</v>
      </c>
      <c r="P168" s="5"/>
      <c r="Q168" s="5">
        <f>+K168-'[1]вересень (2)'!K148</f>
        <v>0</v>
      </c>
      <c r="R168" s="5"/>
      <c r="AE168" s="1">
        <f>+J168-'[1]26.06. +спорт+днз№15'!J167</f>
        <v>972.10000000000582</v>
      </c>
    </row>
    <row r="169" spans="1:32" ht="35.25" customHeight="1" x14ac:dyDescent="0.45">
      <c r="A169" s="208"/>
      <c r="B169" s="345"/>
      <c r="C169" s="609" t="s">
        <v>339</v>
      </c>
      <c r="D169" s="609"/>
      <c r="E169" s="609"/>
      <c r="F169" s="609"/>
      <c r="G169" s="609"/>
      <c r="H169" s="609"/>
      <c r="I169" s="609"/>
      <c r="J169" s="609"/>
      <c r="K169" s="609"/>
      <c r="L169" s="71"/>
      <c r="M169" s="72"/>
      <c r="N169" s="30"/>
      <c r="O169" s="31">
        <f>+J169-'[1]вересень (2)'!J149</f>
        <v>0</v>
      </c>
      <c r="P169" s="5"/>
      <c r="Q169" s="5">
        <f>+K169-'[1]вересень (2)'!K149</f>
        <v>0</v>
      </c>
      <c r="R169" s="5"/>
      <c r="AE169" s="1">
        <f>+J169-'[1]26.06. +спорт+днз№15'!J168</f>
        <v>0</v>
      </c>
    </row>
    <row r="170" spans="1:32" ht="114" customHeight="1" x14ac:dyDescent="0.45">
      <c r="A170" s="286">
        <v>6</v>
      </c>
      <c r="B170" s="48" t="s">
        <v>340</v>
      </c>
      <c r="C170" s="346" t="s">
        <v>341</v>
      </c>
      <c r="D170" s="132" t="s">
        <v>18</v>
      </c>
      <c r="E170" s="132" t="s">
        <v>19</v>
      </c>
      <c r="F170" s="65" t="s">
        <v>26</v>
      </c>
      <c r="G170" s="287">
        <v>199</v>
      </c>
      <c r="H170" s="287">
        <v>220</v>
      </c>
      <c r="I170" s="287">
        <v>240</v>
      </c>
      <c r="J170" s="287">
        <v>260</v>
      </c>
      <c r="K170" s="287">
        <v>280</v>
      </c>
      <c r="L170" s="181" t="s">
        <v>342</v>
      </c>
      <c r="M170" s="72"/>
      <c r="N170" s="30"/>
      <c r="O170" s="31">
        <f>+J170-'[1]вересень (2)'!J150</f>
        <v>0</v>
      </c>
      <c r="P170" s="5"/>
      <c r="Q170" s="5">
        <f>+K170-'[1]вересень (2)'!K150</f>
        <v>0</v>
      </c>
      <c r="R170" s="5"/>
      <c r="AE170" s="1">
        <f>+J170-'[1]26.06. +спорт+днз№15'!J169</f>
        <v>0</v>
      </c>
    </row>
    <row r="171" spans="1:32" ht="123" x14ac:dyDescent="0.45">
      <c r="A171" s="124"/>
      <c r="B171" s="59"/>
      <c r="C171" s="192" t="s">
        <v>343</v>
      </c>
      <c r="D171" s="67" t="s">
        <v>18</v>
      </c>
      <c r="E171" s="67" t="s">
        <v>19</v>
      </c>
      <c r="F171" s="65" t="s">
        <v>26</v>
      </c>
      <c r="G171" s="68">
        <v>700</v>
      </c>
      <c r="H171" s="68">
        <v>710</v>
      </c>
      <c r="I171" s="68">
        <v>720</v>
      </c>
      <c r="J171" s="68">
        <v>730</v>
      </c>
      <c r="K171" s="68">
        <v>740</v>
      </c>
      <c r="L171" s="181" t="s">
        <v>344</v>
      </c>
      <c r="M171" s="72"/>
      <c r="N171" s="30"/>
      <c r="O171" s="31">
        <f>+J171-'[1]вересень (2)'!J151</f>
        <v>0</v>
      </c>
      <c r="P171" s="5"/>
      <c r="Q171" s="5">
        <f>+K171-'[1]вересень (2)'!K151</f>
        <v>0</v>
      </c>
      <c r="R171" s="5"/>
      <c r="AE171" s="1">
        <f>+J171-'[1]26.06. +спорт+днз№15'!J170</f>
        <v>0</v>
      </c>
    </row>
    <row r="172" spans="1:32" ht="171" customHeight="1" x14ac:dyDescent="0.45">
      <c r="A172" s="173"/>
      <c r="B172" s="53"/>
      <c r="C172" s="347" t="s">
        <v>345</v>
      </c>
      <c r="D172" s="66" t="s">
        <v>18</v>
      </c>
      <c r="E172" s="67" t="s">
        <v>19</v>
      </c>
      <c r="F172" s="65" t="s">
        <v>26</v>
      </c>
      <c r="G172" s="75">
        <v>199</v>
      </c>
      <c r="H172" s="75">
        <v>199</v>
      </c>
      <c r="I172" s="75">
        <v>199</v>
      </c>
      <c r="J172" s="75">
        <v>199</v>
      </c>
      <c r="K172" s="75">
        <v>199</v>
      </c>
      <c r="L172" s="181" t="s">
        <v>346</v>
      </c>
      <c r="M172" s="72"/>
      <c r="N172" s="30"/>
      <c r="O172" s="31">
        <f>+J172-'[1]вересень (2)'!J152</f>
        <v>0</v>
      </c>
      <c r="P172" s="5"/>
      <c r="Q172" s="5">
        <f>+K172-'[1]вересень (2)'!K152</f>
        <v>0</v>
      </c>
      <c r="R172" s="5"/>
      <c r="AE172" s="1">
        <f>+J172-'[1]26.06. +спорт+днз№15'!J171</f>
        <v>0</v>
      </c>
    </row>
    <row r="173" spans="1:32" ht="208.5" customHeight="1" x14ac:dyDescent="0.45">
      <c r="A173" s="579"/>
      <c r="B173" s="48"/>
      <c r="C173" s="156" t="s">
        <v>347</v>
      </c>
      <c r="D173" s="132" t="s">
        <v>18</v>
      </c>
      <c r="E173" s="67" t="s">
        <v>19</v>
      </c>
      <c r="F173" s="65" t="s">
        <v>26</v>
      </c>
      <c r="G173" s="68">
        <v>700</v>
      </c>
      <c r="H173" s="68">
        <v>700</v>
      </c>
      <c r="I173" s="68">
        <v>700</v>
      </c>
      <c r="J173" s="68">
        <v>700</v>
      </c>
      <c r="K173" s="68">
        <v>700</v>
      </c>
      <c r="L173" s="181" t="s">
        <v>348</v>
      </c>
      <c r="M173" s="72"/>
      <c r="N173" s="30"/>
      <c r="O173" s="31">
        <f>+J173-'[1]вересень (2)'!J153</f>
        <v>0</v>
      </c>
      <c r="P173" s="5"/>
      <c r="Q173" s="5">
        <f>+K173-'[1]вересень (2)'!K153</f>
        <v>0</v>
      </c>
      <c r="R173" s="5"/>
      <c r="AE173" s="1">
        <f>+J173-'[1]26.06. +спорт+днз№15'!J172</f>
        <v>0</v>
      </c>
    </row>
    <row r="174" spans="1:32" ht="285" customHeight="1" x14ac:dyDescent="0.45">
      <c r="A174" s="645"/>
      <c r="B174" s="59"/>
      <c r="C174" s="230" t="s">
        <v>349</v>
      </c>
      <c r="D174" s="66" t="s">
        <v>18</v>
      </c>
      <c r="E174" s="60" t="s">
        <v>19</v>
      </c>
      <c r="F174" s="213" t="s">
        <v>26</v>
      </c>
      <c r="G174" s="75">
        <v>80</v>
      </c>
      <c r="H174" s="75">
        <v>85</v>
      </c>
      <c r="I174" s="75">
        <v>90</v>
      </c>
      <c r="J174" s="75">
        <v>95</v>
      </c>
      <c r="K174" s="75">
        <v>100</v>
      </c>
      <c r="L174" s="61" t="s">
        <v>350</v>
      </c>
      <c r="M174" s="72"/>
      <c r="N174" s="30"/>
      <c r="O174" s="31">
        <f>+J174-'[1]вересень (2)'!J154</f>
        <v>0</v>
      </c>
      <c r="P174" s="5"/>
      <c r="Q174" s="5">
        <f>+K174-'[1]вересень (2)'!K154</f>
        <v>0</v>
      </c>
      <c r="R174" s="5"/>
      <c r="AE174" s="1">
        <f>+J174-'[1]26.06. +спорт+днз№15'!J173</f>
        <v>0</v>
      </c>
    </row>
    <row r="175" spans="1:32" ht="33" customHeight="1" x14ac:dyDescent="0.45">
      <c r="A175" s="348"/>
      <c r="B175" s="179"/>
      <c r="C175" s="341" t="s">
        <v>63</v>
      </c>
      <c r="D175" s="342"/>
      <c r="E175" s="342"/>
      <c r="F175" s="172"/>
      <c r="G175" s="343">
        <f>G170+G171+G172+G173+G174</f>
        <v>1878</v>
      </c>
      <c r="H175" s="343">
        <f>H170+H171+H172+H173+H174</f>
        <v>1914</v>
      </c>
      <c r="I175" s="343">
        <f>I170+I171+I172+I173+I174</f>
        <v>1949</v>
      </c>
      <c r="J175" s="343">
        <f>J170+J171+J172+J173+J174</f>
        <v>1984</v>
      </c>
      <c r="K175" s="343">
        <f>K170+K171+K172+K173+K174</f>
        <v>2019</v>
      </c>
      <c r="L175" s="292"/>
      <c r="M175" s="72"/>
      <c r="N175" s="30"/>
      <c r="O175" s="31">
        <f>+J175-'[1]вересень (2)'!J155</f>
        <v>0</v>
      </c>
      <c r="P175" s="5"/>
      <c r="Q175" s="5">
        <f>+K175-'[1]вересень (2)'!K155</f>
        <v>0</v>
      </c>
      <c r="R175" s="5"/>
      <c r="AE175" s="1">
        <f>+J175-'[1]26.06. +спорт+днз№15'!J174</f>
        <v>0</v>
      </c>
    </row>
    <row r="176" spans="1:32" ht="47.25" customHeight="1" x14ac:dyDescent="0.45">
      <c r="A176" s="349"/>
      <c r="B176" s="73"/>
      <c r="C176" s="641" t="s">
        <v>351</v>
      </c>
      <c r="D176" s="642"/>
      <c r="E176" s="642"/>
      <c r="F176" s="642"/>
      <c r="G176" s="642"/>
      <c r="H176" s="642"/>
      <c r="I176" s="642"/>
      <c r="J176" s="642"/>
      <c r="K176" s="643"/>
      <c r="L176" s="71"/>
      <c r="M176" s="72"/>
      <c r="N176" s="30"/>
      <c r="O176" s="31">
        <f>+J176-'[1]вересень (2)'!J156</f>
        <v>0</v>
      </c>
      <c r="P176" s="5"/>
      <c r="Q176" s="5">
        <f>+K176-'[1]вересень (2)'!K156</f>
        <v>0</v>
      </c>
      <c r="R176" s="5"/>
      <c r="AE176" s="1">
        <f>+J176-'[1]26.06. +спорт+днз№15'!J175</f>
        <v>0</v>
      </c>
    </row>
    <row r="177" spans="1:31" ht="184.5" x14ac:dyDescent="0.45">
      <c r="A177" s="21">
        <v>7</v>
      </c>
      <c r="B177" s="84" t="s">
        <v>352</v>
      </c>
      <c r="C177" s="350" t="s">
        <v>353</v>
      </c>
      <c r="D177" s="23" t="s">
        <v>18</v>
      </c>
      <c r="E177" s="24" t="s">
        <v>19</v>
      </c>
      <c r="F177" s="78" t="s">
        <v>354</v>
      </c>
      <c r="G177" s="23">
        <v>461.5</v>
      </c>
      <c r="H177" s="351">
        <v>490</v>
      </c>
      <c r="I177" s="351">
        <v>0</v>
      </c>
      <c r="J177" s="351">
        <v>0</v>
      </c>
      <c r="K177" s="351">
        <v>0</v>
      </c>
      <c r="L177" s="352" t="s">
        <v>355</v>
      </c>
      <c r="M177" s="72"/>
      <c r="N177" s="30"/>
      <c r="O177" s="31">
        <f>+J177-'[1]вересень (2)'!J157</f>
        <v>0</v>
      </c>
      <c r="P177" s="5"/>
      <c r="Q177" s="5">
        <f>+K177-'[1]вересень (2)'!K157</f>
        <v>0</v>
      </c>
      <c r="R177" s="5"/>
      <c r="AE177" s="1">
        <f>+J177-'[1]26.06. +спорт+днз№15'!J176</f>
        <v>0</v>
      </c>
    </row>
    <row r="178" spans="1:31" ht="398.25" customHeight="1" x14ac:dyDescent="0.45">
      <c r="A178" s="124"/>
      <c r="B178" s="48" t="s">
        <v>356</v>
      </c>
      <c r="C178" s="257" t="s">
        <v>357</v>
      </c>
      <c r="D178" s="132" t="s">
        <v>18</v>
      </c>
      <c r="E178" s="132" t="s">
        <v>19</v>
      </c>
      <c r="F178" s="153" t="s">
        <v>67</v>
      </c>
      <c r="G178" s="154">
        <v>0</v>
      </c>
      <c r="H178" s="154">
        <v>0</v>
      </c>
      <c r="I178" s="154">
        <v>0</v>
      </c>
      <c r="J178" s="154">
        <v>0</v>
      </c>
      <c r="K178" s="154">
        <v>0</v>
      </c>
      <c r="L178" s="93" t="s">
        <v>358</v>
      </c>
      <c r="M178" s="90"/>
      <c r="N178" s="123"/>
      <c r="O178" s="31">
        <f>+J178-'[1]вересень (2)'!J158</f>
        <v>0</v>
      </c>
      <c r="P178" s="5"/>
      <c r="Q178" s="5">
        <f>+K178-'[1]вересень (2)'!K158</f>
        <v>0</v>
      </c>
      <c r="R178" s="5"/>
      <c r="AE178" s="1">
        <f>+J178-'[1]26.06. +спорт+днз№15'!J177</f>
        <v>0</v>
      </c>
    </row>
    <row r="179" spans="1:31" ht="215.25" x14ac:dyDescent="0.45">
      <c r="A179" s="58"/>
      <c r="B179" s="353"/>
      <c r="C179" s="254" t="s">
        <v>359</v>
      </c>
      <c r="D179" s="67" t="s">
        <v>18</v>
      </c>
      <c r="E179" s="67" t="s">
        <v>19</v>
      </c>
      <c r="F179" s="65" t="s">
        <v>67</v>
      </c>
      <c r="G179" s="157">
        <v>0</v>
      </c>
      <c r="H179" s="157">
        <v>0</v>
      </c>
      <c r="I179" s="157">
        <v>0</v>
      </c>
      <c r="J179" s="157">
        <v>0</v>
      </c>
      <c r="K179" s="157">
        <v>0</v>
      </c>
      <c r="L179" s="354"/>
      <c r="M179" s="90"/>
      <c r="N179" s="123"/>
      <c r="O179" s="31">
        <f>+J179-'[1]вересень (2)'!J159</f>
        <v>0</v>
      </c>
      <c r="P179" s="5"/>
      <c r="Q179" s="5">
        <f>+K179-'[1]вересень (2)'!K159</f>
        <v>0</v>
      </c>
      <c r="R179" s="5"/>
      <c r="AE179" s="1">
        <f>+J179-'[1]26.06. +спорт+днз№15'!J178</f>
        <v>0</v>
      </c>
    </row>
    <row r="180" spans="1:31" ht="153.75" x14ac:dyDescent="0.45">
      <c r="A180" s="33"/>
      <c r="B180" s="59"/>
      <c r="C180" s="355" t="s">
        <v>360</v>
      </c>
      <c r="D180" s="139" t="s">
        <v>18</v>
      </c>
      <c r="E180" s="139" t="s">
        <v>19</v>
      </c>
      <c r="F180" s="140" t="s">
        <v>67</v>
      </c>
      <c r="G180" s="232">
        <v>0</v>
      </c>
      <c r="H180" s="232">
        <v>0</v>
      </c>
      <c r="I180" s="232">
        <v>0</v>
      </c>
      <c r="J180" s="232">
        <v>0</v>
      </c>
      <c r="K180" s="232">
        <v>0</v>
      </c>
      <c r="L180" s="356"/>
      <c r="M180" s="90"/>
      <c r="N180" s="123"/>
      <c r="O180" s="31">
        <f>+J180-'[1]вересень (2)'!J160</f>
        <v>0</v>
      </c>
      <c r="P180" s="5"/>
      <c r="Q180" s="5">
        <f>+K180-'[1]вересень (2)'!K160</f>
        <v>0</v>
      </c>
      <c r="R180" s="5"/>
      <c r="AE180" s="1">
        <f>+J180-'[1]26.06. +спорт+днз№15'!J179</f>
        <v>0</v>
      </c>
    </row>
    <row r="181" spans="1:31" ht="213.75" customHeight="1" x14ac:dyDescent="0.45">
      <c r="A181" s="579"/>
      <c r="B181" s="48"/>
      <c r="C181" s="357" t="s">
        <v>361</v>
      </c>
      <c r="D181" s="46" t="s">
        <v>18</v>
      </c>
      <c r="E181" s="46" t="s">
        <v>19</v>
      </c>
      <c r="F181" s="49" t="s">
        <v>67</v>
      </c>
      <c r="G181" s="38">
        <v>0</v>
      </c>
      <c r="H181" s="38">
        <v>0</v>
      </c>
      <c r="I181" s="38">
        <v>0</v>
      </c>
      <c r="J181" s="38">
        <v>0</v>
      </c>
      <c r="K181" s="38">
        <v>0</v>
      </c>
      <c r="L181" s="354"/>
      <c r="M181" s="90"/>
      <c r="N181" s="123"/>
      <c r="O181" s="31">
        <f>+J181-'[1]вересень (2)'!J161</f>
        <v>0</v>
      </c>
      <c r="P181" s="5"/>
      <c r="Q181" s="5">
        <f>+K181-'[1]вересень (2)'!K161</f>
        <v>0</v>
      </c>
      <c r="R181" s="5"/>
      <c r="AE181" s="1">
        <f>+J181-'[1]26.06. +спорт+днз№15'!J180</f>
        <v>0</v>
      </c>
    </row>
    <row r="182" spans="1:31" ht="279.75" customHeight="1" x14ac:dyDescent="0.45">
      <c r="A182" s="645"/>
      <c r="B182" s="297"/>
      <c r="C182" s="254" t="s">
        <v>362</v>
      </c>
      <c r="D182" s="60" t="s">
        <v>18</v>
      </c>
      <c r="E182" s="60" t="s">
        <v>19</v>
      </c>
      <c r="F182" s="213" t="s">
        <v>67</v>
      </c>
      <c r="G182" s="170">
        <v>0</v>
      </c>
      <c r="H182" s="170">
        <v>0</v>
      </c>
      <c r="I182" s="170">
        <v>0</v>
      </c>
      <c r="J182" s="170">
        <v>0</v>
      </c>
      <c r="K182" s="170">
        <v>0</v>
      </c>
      <c r="L182" s="95"/>
      <c r="M182" s="90"/>
      <c r="N182" s="123"/>
      <c r="O182" s="31">
        <f>+J182-'[1]вересень (2)'!J162</f>
        <v>0</v>
      </c>
      <c r="P182" s="5"/>
      <c r="Q182" s="5">
        <f>+K182-'[1]вересень (2)'!K162</f>
        <v>0</v>
      </c>
      <c r="R182" s="5"/>
      <c r="AE182" s="1">
        <f>+J182-'[1]26.06. +спорт+днз№15'!J181</f>
        <v>0</v>
      </c>
    </row>
    <row r="183" spans="1:31" ht="234.75" customHeight="1" x14ac:dyDescent="0.45">
      <c r="A183" s="124"/>
      <c r="B183" s="53" t="s">
        <v>363</v>
      </c>
      <c r="C183" s="358" t="s">
        <v>364</v>
      </c>
      <c r="D183" s="66" t="s">
        <v>18</v>
      </c>
      <c r="E183" s="139" t="s">
        <v>19</v>
      </c>
      <c r="F183" s="359" t="s">
        <v>354</v>
      </c>
      <c r="G183" s="60">
        <v>3780.5</v>
      </c>
      <c r="H183" s="38">
        <f>1967.3+328.2+457.6</f>
        <v>2753.1</v>
      </c>
      <c r="I183" s="237">
        <f>1602.4+128.1+1742.4</f>
        <v>3472.9</v>
      </c>
      <c r="J183" s="46">
        <f>3017.7+1661.3+365.5</f>
        <v>5044.5</v>
      </c>
      <c r="K183" s="46"/>
      <c r="L183" s="574" t="s">
        <v>365</v>
      </c>
      <c r="M183" s="30"/>
      <c r="N183" s="30"/>
      <c r="O183" s="31">
        <v>0</v>
      </c>
      <c r="P183" s="5"/>
      <c r="Q183" s="5">
        <f>+K183-'[1]вересень (2)'!K163</f>
        <v>0</v>
      </c>
      <c r="R183" s="5"/>
      <c r="AE183" s="207">
        <f>+J183-'[1]26.06. +спорт+днз№15'!J182</f>
        <v>2026.8000000000002</v>
      </c>
    </row>
    <row r="184" spans="1:31" ht="267" customHeight="1" x14ac:dyDescent="0.45">
      <c r="A184" s="211"/>
      <c r="B184" s="48"/>
      <c r="C184" s="156" t="s">
        <v>366</v>
      </c>
      <c r="D184" s="132" t="s">
        <v>18</v>
      </c>
      <c r="E184" s="132" t="s">
        <v>19</v>
      </c>
      <c r="F184" s="92" t="s">
        <v>354</v>
      </c>
      <c r="G184" s="46">
        <v>1050.0999999999999</v>
      </c>
      <c r="H184" s="46">
        <f>888.8+165.1+215.3</f>
        <v>1269.1999999999998</v>
      </c>
      <c r="I184" s="237">
        <f>907.5+72.8+1049.9</f>
        <v>2030.2</v>
      </c>
      <c r="J184" s="46">
        <f>1307.4+712+156.6</f>
        <v>2176</v>
      </c>
      <c r="K184" s="46"/>
      <c r="L184" s="624"/>
      <c r="M184" s="30"/>
      <c r="N184" s="30"/>
      <c r="O184" s="31">
        <v>0</v>
      </c>
      <c r="P184" s="5"/>
      <c r="Q184" s="5">
        <f>+K184-'[1]вересень (2)'!K164</f>
        <v>0</v>
      </c>
      <c r="R184" s="5"/>
      <c r="AE184" s="207">
        <f>+J184-'[1]26.06. +спорт+днз№15'!J183</f>
        <v>868.59999999999991</v>
      </c>
    </row>
    <row r="185" spans="1:31" ht="177" customHeight="1" x14ac:dyDescent="0.45">
      <c r="A185" s="218"/>
      <c r="B185" s="59"/>
      <c r="C185" s="156" t="s">
        <v>367</v>
      </c>
      <c r="D185" s="67" t="s">
        <v>11</v>
      </c>
      <c r="E185" s="132" t="s">
        <v>19</v>
      </c>
      <c r="F185" s="360" t="s">
        <v>26</v>
      </c>
      <c r="G185" s="46">
        <v>0</v>
      </c>
      <c r="H185" s="361">
        <v>1958.21</v>
      </c>
      <c r="I185" s="39">
        <v>0</v>
      </c>
      <c r="J185" s="39">
        <v>0</v>
      </c>
      <c r="K185" s="39">
        <v>0</v>
      </c>
      <c r="L185" s="40" t="s">
        <v>368</v>
      </c>
      <c r="M185" s="30"/>
      <c r="N185" s="30"/>
      <c r="O185" s="31">
        <f>+J185-'[1]вересень (2)'!J165</f>
        <v>0</v>
      </c>
      <c r="P185" s="5"/>
      <c r="Q185" s="5">
        <f>+K185-'[1]вересень (2)'!K165</f>
        <v>0</v>
      </c>
      <c r="R185" s="5"/>
      <c r="AE185" s="1">
        <f>+J185-'[1]26.06. +спорт+днз№15'!J184</f>
        <v>0</v>
      </c>
    </row>
    <row r="186" spans="1:31" ht="186.75" customHeight="1" x14ac:dyDescent="0.45">
      <c r="A186" s="218"/>
      <c r="B186" s="59"/>
      <c r="C186" s="156" t="s">
        <v>369</v>
      </c>
      <c r="D186" s="67" t="s">
        <v>11</v>
      </c>
      <c r="E186" s="132" t="s">
        <v>19</v>
      </c>
      <c r="F186" s="360" t="s">
        <v>26</v>
      </c>
      <c r="G186" s="46">
        <v>0</v>
      </c>
      <c r="H186" s="361">
        <v>875.64</v>
      </c>
      <c r="I186" s="39">
        <v>0</v>
      </c>
      <c r="J186" s="39">
        <v>0</v>
      </c>
      <c r="K186" s="39">
        <v>0</v>
      </c>
      <c r="L186" s="40" t="s">
        <v>368</v>
      </c>
      <c r="M186" s="30"/>
      <c r="N186" s="30"/>
      <c r="O186" s="31">
        <f>+J186-'[1]вересень (2)'!J166</f>
        <v>0</v>
      </c>
      <c r="P186" s="5"/>
      <c r="Q186" s="5">
        <f>+K186-'[1]вересень (2)'!K166</f>
        <v>0</v>
      </c>
      <c r="R186" s="5"/>
      <c r="AE186" s="1">
        <f>+J186-'[1]26.06. +спорт+днз№15'!J185</f>
        <v>0</v>
      </c>
    </row>
    <row r="187" spans="1:31" ht="241.5" customHeight="1" x14ac:dyDescent="0.45">
      <c r="A187" s="218"/>
      <c r="B187" s="59"/>
      <c r="C187" s="546" t="s">
        <v>370</v>
      </c>
      <c r="D187" s="67" t="s">
        <v>371</v>
      </c>
      <c r="E187" s="132" t="s">
        <v>19</v>
      </c>
      <c r="F187" s="360" t="s">
        <v>26</v>
      </c>
      <c r="G187" s="46">
        <v>0</v>
      </c>
      <c r="H187" s="361">
        <v>230.4</v>
      </c>
      <c r="I187" s="39">
        <f>178.1+174.2</f>
        <v>352.29999999999995</v>
      </c>
      <c r="J187" s="39">
        <f>254.4+24.3</f>
        <v>278.7</v>
      </c>
      <c r="K187" s="39">
        <v>0</v>
      </c>
      <c r="L187" s="40" t="s">
        <v>372</v>
      </c>
      <c r="M187" s="30"/>
      <c r="N187" s="30"/>
      <c r="O187" s="31">
        <f>+J187-'[1]вересень (2)'!J167</f>
        <v>278.7</v>
      </c>
      <c r="P187" s="5"/>
      <c r="Q187" s="5">
        <f>+K187-'[1]вересень (2)'!K167</f>
        <v>0</v>
      </c>
      <c r="R187" s="5"/>
      <c r="AE187" s="1">
        <f>+J187-'[1]26.06. +спорт+днз№15'!J186</f>
        <v>24.299999999999983</v>
      </c>
    </row>
    <row r="188" spans="1:31" ht="217.5" customHeight="1" x14ac:dyDescent="0.45">
      <c r="A188" s="637"/>
      <c r="B188" s="48" t="s">
        <v>373</v>
      </c>
      <c r="C188" s="362" t="s">
        <v>374</v>
      </c>
      <c r="D188" s="67" t="s">
        <v>18</v>
      </c>
      <c r="E188" s="363" t="s">
        <v>19</v>
      </c>
      <c r="F188" s="364" t="s">
        <v>26</v>
      </c>
      <c r="G188" s="638" t="s">
        <v>375</v>
      </c>
      <c r="H188" s="639"/>
      <c r="I188" s="639"/>
      <c r="J188" s="639"/>
      <c r="K188" s="640"/>
      <c r="L188" s="365" t="s">
        <v>376</v>
      </c>
      <c r="M188" s="366"/>
      <c r="N188" s="366"/>
      <c r="O188" s="31">
        <f>+J188-'[1]вересень (2)'!J168</f>
        <v>0</v>
      </c>
      <c r="P188" s="5"/>
      <c r="Q188" s="5">
        <f>+K188-'[1]вересень (2)'!K168</f>
        <v>0</v>
      </c>
      <c r="R188" s="5"/>
      <c r="AE188" s="1">
        <f>+J188-'[1]26.06. +спорт+днз№15'!J187</f>
        <v>0</v>
      </c>
    </row>
    <row r="189" spans="1:31" ht="120.75" customHeight="1" x14ac:dyDescent="0.45">
      <c r="A189" s="600"/>
      <c r="B189" s="59"/>
      <c r="C189" s="347" t="s">
        <v>377</v>
      </c>
      <c r="D189" s="367" t="s">
        <v>18</v>
      </c>
      <c r="E189" s="46" t="s">
        <v>19</v>
      </c>
      <c r="F189" s="293" t="s">
        <v>67</v>
      </c>
      <c r="G189" s="157">
        <v>0</v>
      </c>
      <c r="H189" s="157">
        <v>0</v>
      </c>
      <c r="I189" s="157">
        <v>0</v>
      </c>
      <c r="J189" s="157">
        <v>0</v>
      </c>
      <c r="K189" s="157">
        <v>0</v>
      </c>
      <c r="L189" s="71" t="s">
        <v>378</v>
      </c>
      <c r="M189" s="72"/>
      <c r="N189" s="30"/>
      <c r="O189" s="31">
        <f>+J189-'[1]вересень (2)'!J169</f>
        <v>0</v>
      </c>
      <c r="P189" s="5"/>
      <c r="Q189" s="5">
        <f>+K189-'[1]вересень (2)'!K169</f>
        <v>0</v>
      </c>
      <c r="R189" s="5"/>
      <c r="AE189" s="1">
        <f>+J189-'[1]26.06. +спорт+днз№15'!J188</f>
        <v>0</v>
      </c>
    </row>
    <row r="190" spans="1:31" ht="307.5" x14ac:dyDescent="0.45">
      <c r="A190" s="211"/>
      <c r="B190" s="368" t="s">
        <v>379</v>
      </c>
      <c r="C190" s="368" t="s">
        <v>380</v>
      </c>
      <c r="D190" s="23" t="s">
        <v>18</v>
      </c>
      <c r="E190" s="47" t="s">
        <v>19</v>
      </c>
      <c r="F190" s="86" t="s">
        <v>26</v>
      </c>
      <c r="G190" s="43">
        <v>800</v>
      </c>
      <c r="H190" s="43">
        <v>600</v>
      </c>
      <c r="I190" s="43">
        <v>900</v>
      </c>
      <c r="J190" s="43">
        <v>600</v>
      </c>
      <c r="K190" s="43">
        <v>800</v>
      </c>
      <c r="L190" s="29" t="s">
        <v>381</v>
      </c>
      <c r="M190" s="30"/>
      <c r="N190" s="30"/>
      <c r="O190" s="31">
        <f>+J190-'[1]вересень (2)'!J170</f>
        <v>0</v>
      </c>
      <c r="P190" s="5"/>
      <c r="Q190" s="5">
        <f>+K190-'[1]вересень (2)'!K170</f>
        <v>0</v>
      </c>
      <c r="R190" s="5"/>
      <c r="AE190" s="1">
        <f>+J190-'[1]26.06. +спорт+днз№15'!J189</f>
        <v>0</v>
      </c>
    </row>
    <row r="191" spans="1:31" ht="48" customHeight="1" x14ac:dyDescent="0.45">
      <c r="A191" s="369"/>
      <c r="B191" s="370"/>
      <c r="C191" s="341" t="s">
        <v>63</v>
      </c>
      <c r="D191" s="121"/>
      <c r="E191" s="121"/>
      <c r="F191" s="172"/>
      <c r="G191" s="371">
        <f>G177+G178+G179+G180+G181+G182+G189+G190+G183+G184</f>
        <v>6092.1</v>
      </c>
      <c r="H191" s="371">
        <f>H177+H178+H179+H180+H181+H182+H189+H190+H184+H183+H185+H186+H187</f>
        <v>8176.5499999999993</v>
      </c>
      <c r="I191" s="371">
        <f>I177+I178+I179+I180+I181+I182+I189+I190+I187+I183+I184</f>
        <v>6755.4</v>
      </c>
      <c r="J191" s="371">
        <f t="shared" ref="J191:K191" si="0">J177+J178+J179+J180+J181+J182+J189+J190+J187+J183+J184</f>
        <v>8099.2</v>
      </c>
      <c r="K191" s="371">
        <f t="shared" si="0"/>
        <v>800</v>
      </c>
      <c r="L191" s="292"/>
      <c r="M191" s="72"/>
      <c r="N191" s="30"/>
      <c r="O191" s="31">
        <f>+J191-'[1]вересень (2)'!J171</f>
        <v>7499.2</v>
      </c>
      <c r="P191" s="5"/>
      <c r="Q191" s="5">
        <f>+K191-'[1]вересень (2)'!K171</f>
        <v>0</v>
      </c>
      <c r="R191" s="5"/>
      <c r="AE191" s="207">
        <f>+J191-'[1]26.06. +спорт+днз№15'!J190</f>
        <v>2919.7</v>
      </c>
    </row>
    <row r="192" spans="1:31" ht="61.5" customHeight="1" x14ac:dyDescent="0.45">
      <c r="A192" s="372"/>
      <c r="B192" s="108"/>
      <c r="C192" s="641" t="s">
        <v>382</v>
      </c>
      <c r="D192" s="642"/>
      <c r="E192" s="642"/>
      <c r="F192" s="642"/>
      <c r="G192" s="642"/>
      <c r="H192" s="642"/>
      <c r="I192" s="642"/>
      <c r="J192" s="642"/>
      <c r="K192" s="643"/>
      <c r="L192" s="71"/>
      <c r="M192" s="72"/>
      <c r="N192" s="30"/>
      <c r="O192" s="31">
        <f>+J192-'[1]вересень (2)'!J172</f>
        <v>0</v>
      </c>
      <c r="P192" s="5"/>
      <c r="Q192" s="5">
        <f>+K192-'[1]вересень (2)'!K172</f>
        <v>0</v>
      </c>
      <c r="R192" s="5"/>
      <c r="AE192" s="207">
        <f>+J192-'[1]26.06. +спорт+днз№15'!J191</f>
        <v>0</v>
      </c>
    </row>
    <row r="193" spans="1:31" ht="215.25" x14ac:dyDescent="0.45">
      <c r="A193" s="373">
        <v>8</v>
      </c>
      <c r="B193" s="48" t="s">
        <v>383</v>
      </c>
      <c r="C193" s="316" t="s">
        <v>384</v>
      </c>
      <c r="D193" s="132" t="s">
        <v>18</v>
      </c>
      <c r="E193" s="132" t="s">
        <v>19</v>
      </c>
      <c r="F193" s="65" t="s">
        <v>26</v>
      </c>
      <c r="G193" s="132">
        <v>90.5</v>
      </c>
      <c r="H193" s="132">
        <v>90.5</v>
      </c>
      <c r="I193" s="132">
        <f>72.4+18.1</f>
        <v>90.5</v>
      </c>
      <c r="J193" s="132">
        <v>99.6</v>
      </c>
      <c r="K193" s="132">
        <v>72.400000000000006</v>
      </c>
      <c r="L193" s="288" t="s">
        <v>385</v>
      </c>
      <c r="M193" s="72">
        <v>99.6</v>
      </c>
      <c r="N193" s="30">
        <f>+J193-M193</f>
        <v>0</v>
      </c>
      <c r="O193" s="31">
        <f>+J193-'[1]вересень (2)'!J173</f>
        <v>27.199999999999989</v>
      </c>
      <c r="P193" s="32"/>
      <c r="Q193" s="5">
        <f>+K193-'[1]вересень (2)'!K173</f>
        <v>0</v>
      </c>
      <c r="R193" s="5"/>
      <c r="AE193" s="207">
        <f>+J193-'[1]26.06. +спорт+днз№15'!J192</f>
        <v>0</v>
      </c>
    </row>
    <row r="194" spans="1:31" ht="252" customHeight="1" x14ac:dyDescent="0.45">
      <c r="A194" s="637"/>
      <c r="B194" s="59"/>
      <c r="C194" s="374" t="s">
        <v>386</v>
      </c>
      <c r="D194" s="67" t="s">
        <v>18</v>
      </c>
      <c r="E194" s="67" t="s">
        <v>19</v>
      </c>
      <c r="F194" s="65" t="s">
        <v>26</v>
      </c>
      <c r="G194" s="157">
        <v>381</v>
      </c>
      <c r="H194" s="157">
        <v>412.2</v>
      </c>
      <c r="I194" s="157">
        <f>442.3+36.3</f>
        <v>478.6</v>
      </c>
      <c r="J194" s="375">
        <v>487</v>
      </c>
      <c r="K194" s="375">
        <f>ROUND(J194*1.1,0)</f>
        <v>536</v>
      </c>
      <c r="L194" s="181" t="s">
        <v>387</v>
      </c>
      <c r="M194" s="72">
        <v>470.6</v>
      </c>
      <c r="N194" s="30">
        <f>+J194-M194</f>
        <v>16.399999999999977</v>
      </c>
      <c r="O194" s="31">
        <f>+J194-'[1]вересень (2)'!J174</f>
        <v>0</v>
      </c>
      <c r="P194" s="32"/>
      <c r="Q194" s="5">
        <f>+K194-'[1]вересень (2)'!K174</f>
        <v>0</v>
      </c>
      <c r="R194" s="5"/>
      <c r="AE194" s="207">
        <f>+J194-'[1]26.06. +спорт+днз№15'!J193</f>
        <v>0</v>
      </c>
    </row>
    <row r="195" spans="1:31" ht="243.75" customHeight="1" x14ac:dyDescent="0.45">
      <c r="A195" s="600"/>
      <c r="B195" s="329"/>
      <c r="C195" s="230" t="s">
        <v>388</v>
      </c>
      <c r="D195" s="60" t="s">
        <v>18</v>
      </c>
      <c r="E195" s="60" t="s">
        <v>19</v>
      </c>
      <c r="F195" s="213" t="s">
        <v>26</v>
      </c>
      <c r="G195" s="170">
        <v>44</v>
      </c>
      <c r="H195" s="170">
        <v>68</v>
      </c>
      <c r="I195" s="170">
        <f>51.1+25.6</f>
        <v>76.7</v>
      </c>
      <c r="J195" s="376">
        <v>95.8</v>
      </c>
      <c r="K195" s="377">
        <v>62</v>
      </c>
      <c r="L195" s="61" t="s">
        <v>387</v>
      </c>
      <c r="M195" s="72">
        <f>71.9+23.9</f>
        <v>95.800000000000011</v>
      </c>
      <c r="N195" s="30">
        <f>+J195-M195</f>
        <v>0</v>
      </c>
      <c r="O195" s="31">
        <f>+J195-'[1]вересень (2)'!J175</f>
        <v>39.799999999999997</v>
      </c>
      <c r="P195" s="32"/>
      <c r="Q195" s="5">
        <f>+K195-'[1]вересень (2)'!K175</f>
        <v>0</v>
      </c>
      <c r="R195" s="5"/>
      <c r="AE195" s="207">
        <f>+J195-'[1]26.06. +спорт+днз№15'!J194</f>
        <v>0</v>
      </c>
    </row>
    <row r="196" spans="1:31" ht="240.75" customHeight="1" x14ac:dyDescent="0.45">
      <c r="A196" s="600"/>
      <c r="B196" s="329"/>
      <c r="C196" s="307" t="s">
        <v>389</v>
      </c>
      <c r="D196" s="60" t="s">
        <v>18</v>
      </c>
      <c r="E196" s="239" t="s">
        <v>19</v>
      </c>
      <c r="F196" s="213" t="s">
        <v>26</v>
      </c>
      <c r="G196" s="378">
        <f>2.6*6*2</f>
        <v>31.200000000000003</v>
      </c>
      <c r="H196" s="232">
        <v>340</v>
      </c>
      <c r="I196" s="232">
        <f>3*6*2+347.5</f>
        <v>383.5</v>
      </c>
      <c r="J196" s="379">
        <v>479.4</v>
      </c>
      <c r="K196" s="367">
        <v>42</v>
      </c>
      <c r="L196" s="234" t="s">
        <v>387</v>
      </c>
      <c r="M196" s="72">
        <v>479.4</v>
      </c>
      <c r="N196" s="30">
        <f>+J196-M196</f>
        <v>0</v>
      </c>
      <c r="O196" s="31">
        <f>+J196-'[1]вересень (2)'!J176</f>
        <v>440.5</v>
      </c>
      <c r="P196" s="32"/>
      <c r="Q196" s="5">
        <f>+K196-'[1]вересень (2)'!K176</f>
        <v>0</v>
      </c>
      <c r="R196" s="5"/>
      <c r="AE196" s="207">
        <f>+J196-'[1]26.06. +спорт+днз№15'!J195</f>
        <v>0</v>
      </c>
    </row>
    <row r="197" spans="1:31" ht="153.75" x14ac:dyDescent="0.45">
      <c r="A197" s="212"/>
      <c r="B197" s="48"/>
      <c r="C197" s="184" t="s">
        <v>390</v>
      </c>
      <c r="D197" s="23" t="s">
        <v>18</v>
      </c>
      <c r="E197" s="24" t="s">
        <v>19</v>
      </c>
      <c r="F197" s="294" t="s">
        <v>67</v>
      </c>
      <c r="G197" s="351">
        <v>0</v>
      </c>
      <c r="H197" s="351">
        <v>0</v>
      </c>
      <c r="I197" s="351">
        <v>0</v>
      </c>
      <c r="J197" s="351">
        <v>0</v>
      </c>
      <c r="K197" s="351">
        <v>0</v>
      </c>
      <c r="L197" s="352" t="s">
        <v>391</v>
      </c>
      <c r="M197" s="72"/>
      <c r="N197" s="30"/>
      <c r="O197" s="31">
        <f>+J197-'[1]вересень (2)'!J177</f>
        <v>0</v>
      </c>
      <c r="P197" s="5"/>
      <c r="Q197" s="5">
        <f>+K197-'[1]вересень (2)'!K177</f>
        <v>0</v>
      </c>
      <c r="R197" s="5"/>
      <c r="AE197" s="207">
        <f>+J197-'[1]26.06. +спорт+днз№15'!J196</f>
        <v>0</v>
      </c>
    </row>
    <row r="198" spans="1:31" ht="184.5" x14ac:dyDescent="0.45">
      <c r="A198" s="315"/>
      <c r="B198" s="48"/>
      <c r="C198" s="336" t="s">
        <v>392</v>
      </c>
      <c r="D198" s="23" t="s">
        <v>18</v>
      </c>
      <c r="E198" s="24" t="s">
        <v>19</v>
      </c>
      <c r="F198" s="294" t="s">
        <v>67</v>
      </c>
      <c r="G198" s="351">
        <v>0</v>
      </c>
      <c r="H198" s="351">
        <v>0</v>
      </c>
      <c r="I198" s="351">
        <v>0</v>
      </c>
      <c r="J198" s="351">
        <v>0</v>
      </c>
      <c r="K198" s="351">
        <v>0</v>
      </c>
      <c r="L198" s="352" t="s">
        <v>393</v>
      </c>
      <c r="M198" s="72"/>
      <c r="N198" s="30"/>
      <c r="O198" s="31">
        <f>+J198-'[1]вересень (2)'!J178</f>
        <v>0</v>
      </c>
      <c r="P198" s="5"/>
      <c r="Q198" s="5">
        <f>+K198-'[1]вересень (2)'!K178</f>
        <v>0</v>
      </c>
      <c r="R198" s="5"/>
      <c r="AE198" s="207">
        <f>+J198-'[1]26.06. +спорт+днз№15'!J197</f>
        <v>0</v>
      </c>
    </row>
    <row r="199" spans="1:31" ht="37.5" customHeight="1" x14ac:dyDescent="0.45">
      <c r="A199" s="380"/>
      <c r="B199" s="48"/>
      <c r="C199" s="381" t="s">
        <v>63</v>
      </c>
      <c r="D199" s="132"/>
      <c r="E199" s="132"/>
      <c r="F199" s="153"/>
      <c r="G199" s="382">
        <f>SUM(G193:G198)</f>
        <v>546.70000000000005</v>
      </c>
      <c r="H199" s="382">
        <f>SUM(H193:H198)</f>
        <v>910.7</v>
      </c>
      <c r="I199" s="382">
        <f>SUM(I193:I198)</f>
        <v>1029.3000000000002</v>
      </c>
      <c r="J199" s="382">
        <f>SUM(J193:J198)</f>
        <v>1161.8</v>
      </c>
      <c r="K199" s="382">
        <f>SUM(K193:K198)</f>
        <v>712.4</v>
      </c>
      <c r="L199" s="288"/>
      <c r="M199" s="72"/>
      <c r="N199" s="106"/>
      <c r="O199" s="31"/>
      <c r="P199" s="5"/>
      <c r="Q199" s="5">
        <f>+K199-'[1]вересень (2)'!K179</f>
        <v>0</v>
      </c>
      <c r="R199" s="5"/>
      <c r="AE199" s="207">
        <f>+J199-'[1]26.06. +спорт+днз№15'!J198</f>
        <v>0</v>
      </c>
    </row>
    <row r="200" spans="1:31" ht="46.5" customHeight="1" x14ac:dyDescent="0.45">
      <c r="A200" s="212"/>
      <c r="B200" s="237"/>
      <c r="C200" s="644" t="s">
        <v>394</v>
      </c>
      <c r="D200" s="642"/>
      <c r="E200" s="642"/>
      <c r="F200" s="642"/>
      <c r="G200" s="642"/>
      <c r="H200" s="642"/>
      <c r="I200" s="642"/>
      <c r="J200" s="642"/>
      <c r="K200" s="643"/>
      <c r="L200" s="71"/>
      <c r="M200" s="72"/>
      <c r="N200" s="30"/>
      <c r="O200" s="31"/>
      <c r="P200" s="5"/>
      <c r="Q200" s="5">
        <f>+K200-'[1]вересень (2)'!K180</f>
        <v>0</v>
      </c>
      <c r="R200" s="5"/>
      <c r="AE200" s="207">
        <f>+J200-'[1]26.06. +спорт+днз№15'!J199</f>
        <v>0</v>
      </c>
    </row>
    <row r="201" spans="1:31" ht="181.5" customHeight="1" x14ac:dyDescent="0.45">
      <c r="A201" s="383">
        <v>9</v>
      </c>
      <c r="B201" s="48" t="s">
        <v>395</v>
      </c>
      <c r="C201" s="120" t="s">
        <v>396</v>
      </c>
      <c r="D201" s="132" t="s">
        <v>18</v>
      </c>
      <c r="E201" s="132" t="s">
        <v>19</v>
      </c>
      <c r="F201" s="65" t="s">
        <v>26</v>
      </c>
      <c r="G201" s="154">
        <v>20</v>
      </c>
      <c r="H201" s="154">
        <v>20</v>
      </c>
      <c r="I201" s="187">
        <v>20</v>
      </c>
      <c r="J201" s="187">
        <v>20</v>
      </c>
      <c r="K201" s="187">
        <v>20</v>
      </c>
      <c r="L201" s="288" t="s">
        <v>397</v>
      </c>
      <c r="M201" s="72"/>
      <c r="N201" s="30"/>
      <c r="O201" s="31">
        <f>+J201-'[1]вересень (2)'!J181</f>
        <v>0</v>
      </c>
      <c r="P201" s="5"/>
      <c r="Q201" s="5">
        <f>+K201-'[1]вересень (2)'!K181</f>
        <v>0</v>
      </c>
      <c r="R201" s="5"/>
      <c r="AE201" s="207">
        <f>+J201-'[1]26.06. +спорт+днз№15'!J200</f>
        <v>0</v>
      </c>
    </row>
    <row r="202" spans="1:31" ht="102.75" customHeight="1" x14ac:dyDescent="0.45">
      <c r="A202" s="319"/>
      <c r="B202" s="59"/>
      <c r="C202" s="293" t="s">
        <v>398</v>
      </c>
      <c r="D202" s="139" t="s">
        <v>18</v>
      </c>
      <c r="E202" s="139" t="s">
        <v>19</v>
      </c>
      <c r="F202" s="294" t="s">
        <v>26</v>
      </c>
      <c r="G202" s="160">
        <v>70</v>
      </c>
      <c r="H202" s="160">
        <v>70</v>
      </c>
      <c r="I202" s="160">
        <v>105</v>
      </c>
      <c r="J202" s="160">
        <v>105</v>
      </c>
      <c r="K202" s="160">
        <v>105</v>
      </c>
      <c r="L202" s="234" t="s">
        <v>399</v>
      </c>
      <c r="M202" s="72"/>
      <c r="N202" s="30"/>
      <c r="O202" s="31">
        <f>+J202-'[1]вересень (2)'!J182</f>
        <v>0</v>
      </c>
      <c r="P202" s="5"/>
      <c r="Q202" s="5">
        <f>+K202-'[1]вересень (2)'!K182</f>
        <v>0</v>
      </c>
      <c r="R202" s="5"/>
      <c r="AE202" s="207">
        <f>+J202-'[1]26.06. +спорт+днз№15'!J201</f>
        <v>0</v>
      </c>
    </row>
    <row r="203" spans="1:31" ht="172.5" customHeight="1" x14ac:dyDescent="0.45">
      <c r="A203" s="319"/>
      <c r="B203" s="48"/>
      <c r="C203" s="384" t="s">
        <v>400</v>
      </c>
      <c r="D203" s="24" t="s">
        <v>18</v>
      </c>
      <c r="E203" s="24" t="s">
        <v>19</v>
      </c>
      <c r="F203" s="294" t="s">
        <v>26</v>
      </c>
      <c r="G203" s="351">
        <v>40</v>
      </c>
      <c r="H203" s="351">
        <v>40</v>
      </c>
      <c r="I203" s="351">
        <v>40</v>
      </c>
      <c r="J203" s="351">
        <v>60</v>
      </c>
      <c r="K203" s="351">
        <v>50</v>
      </c>
      <c r="L203" s="352" t="s">
        <v>401</v>
      </c>
      <c r="M203" s="72">
        <v>60</v>
      </c>
      <c r="N203" s="30"/>
      <c r="O203" s="31">
        <f>+J203-'[1]вересень (2)'!J183</f>
        <v>10</v>
      </c>
      <c r="P203" s="5"/>
      <c r="Q203" s="5">
        <f>+K203-'[1]вересень (2)'!K183</f>
        <v>0</v>
      </c>
      <c r="R203" s="5"/>
      <c r="AE203" s="207">
        <f>+J203-'[1]26.06. +спорт+днз№15'!J202</f>
        <v>0</v>
      </c>
    </row>
    <row r="204" spans="1:31" ht="66.75" customHeight="1" x14ac:dyDescent="0.45">
      <c r="A204" s="211"/>
      <c r="B204" s="48"/>
      <c r="C204" s="120" t="s">
        <v>402</v>
      </c>
      <c r="D204" s="132" t="s">
        <v>18</v>
      </c>
      <c r="E204" s="132" t="s">
        <v>19</v>
      </c>
      <c r="F204" s="65" t="s">
        <v>26</v>
      </c>
      <c r="G204" s="154">
        <v>120</v>
      </c>
      <c r="H204" s="154">
        <v>120</v>
      </c>
      <c r="I204" s="154">
        <v>120</v>
      </c>
      <c r="J204" s="154">
        <v>160</v>
      </c>
      <c r="K204" s="154">
        <v>160</v>
      </c>
      <c r="L204" s="288" t="s">
        <v>403</v>
      </c>
      <c r="M204" s="72"/>
      <c r="N204" s="30"/>
      <c r="O204" s="31">
        <f>+J204-'[1]вересень (2)'!J184</f>
        <v>0</v>
      </c>
      <c r="P204" s="5"/>
      <c r="Q204" s="5">
        <f>+K204-'[1]вересень (2)'!K184</f>
        <v>0</v>
      </c>
      <c r="R204" s="5"/>
      <c r="AE204" s="207">
        <f>+J204-'[1]26.06. +спорт+днз№15'!J203</f>
        <v>0</v>
      </c>
    </row>
    <row r="205" spans="1:31" ht="251.25" customHeight="1" x14ac:dyDescent="0.45">
      <c r="A205" s="218"/>
      <c r="B205" s="59"/>
      <c r="C205" s="358" t="s">
        <v>404</v>
      </c>
      <c r="D205" s="139" t="s">
        <v>18</v>
      </c>
      <c r="E205" s="139" t="s">
        <v>19</v>
      </c>
      <c r="F205" s="294" t="s">
        <v>26</v>
      </c>
      <c r="G205" s="232">
        <v>30</v>
      </c>
      <c r="H205" s="232">
        <v>30</v>
      </c>
      <c r="I205" s="232">
        <v>30</v>
      </c>
      <c r="J205" s="232">
        <v>60</v>
      </c>
      <c r="K205" s="232">
        <v>45</v>
      </c>
      <c r="L205" s="71" t="s">
        <v>405</v>
      </c>
      <c r="M205" s="72">
        <v>60</v>
      </c>
      <c r="N205" s="30"/>
      <c r="O205" s="31">
        <f>+J205-'[1]вересень (2)'!J185</f>
        <v>15</v>
      </c>
      <c r="P205" s="5"/>
      <c r="Q205" s="5">
        <f>+K205-'[1]вересень (2)'!K185</f>
        <v>0</v>
      </c>
      <c r="R205" s="5"/>
      <c r="AE205" s="207">
        <f>+J205-'[1]26.06. +спорт+днз№15'!J204</f>
        <v>0</v>
      </c>
    </row>
    <row r="206" spans="1:31" ht="196.5" customHeight="1" x14ac:dyDescent="0.45">
      <c r="A206" s="600"/>
      <c r="B206" s="48"/>
      <c r="C206" s="120" t="s">
        <v>406</v>
      </c>
      <c r="D206" s="132" t="s">
        <v>18</v>
      </c>
      <c r="E206" s="132" t="s">
        <v>19</v>
      </c>
      <c r="F206" s="65" t="s">
        <v>26</v>
      </c>
      <c r="G206" s="154">
        <v>35</v>
      </c>
      <c r="H206" s="154">
        <v>35</v>
      </c>
      <c r="I206" s="154">
        <v>40</v>
      </c>
      <c r="J206" s="154">
        <v>60</v>
      </c>
      <c r="K206" s="154">
        <v>50</v>
      </c>
      <c r="L206" s="181" t="s">
        <v>407</v>
      </c>
      <c r="M206" s="72">
        <v>60</v>
      </c>
      <c r="N206" s="30"/>
      <c r="O206" s="31">
        <f>+J206-'[1]вересень (2)'!J186</f>
        <v>15</v>
      </c>
      <c r="P206" s="5"/>
      <c r="Q206" s="5">
        <f>+K206-'[1]вересень (2)'!K186</f>
        <v>0</v>
      </c>
      <c r="R206" s="5"/>
      <c r="AE206" s="207">
        <f>+J206-'[1]26.06. +спорт+днз№15'!J205</f>
        <v>0</v>
      </c>
    </row>
    <row r="207" spans="1:31" ht="184.5" x14ac:dyDescent="0.45">
      <c r="A207" s="600"/>
      <c r="B207" s="59"/>
      <c r="C207" s="293" t="s">
        <v>408</v>
      </c>
      <c r="D207" s="139" t="s">
        <v>18</v>
      </c>
      <c r="E207" s="67" t="s">
        <v>19</v>
      </c>
      <c r="F207" s="65" t="s">
        <v>26</v>
      </c>
      <c r="G207" s="160">
        <v>45</v>
      </c>
      <c r="H207" s="160">
        <v>45</v>
      </c>
      <c r="I207" s="160">
        <v>50</v>
      </c>
      <c r="J207" s="160">
        <v>50</v>
      </c>
      <c r="K207" s="160">
        <v>50</v>
      </c>
      <c r="L207" s="71" t="s">
        <v>409</v>
      </c>
      <c r="M207" s="72"/>
      <c r="N207" s="30"/>
      <c r="O207" s="31">
        <f>+J207-'[1]вересень (2)'!J187</f>
        <v>0</v>
      </c>
      <c r="P207" s="5"/>
      <c r="Q207" s="5">
        <f>+K207-'[1]вересень (2)'!K187</f>
        <v>0</v>
      </c>
      <c r="R207" s="5"/>
      <c r="AE207" s="207">
        <f>+J207-'[1]26.06. +спорт+днз№15'!J206</f>
        <v>0</v>
      </c>
    </row>
    <row r="208" spans="1:31" ht="167.25" customHeight="1" x14ac:dyDescent="0.45">
      <c r="A208" s="218"/>
      <c r="B208" s="48"/>
      <c r="C208" s="358" t="s">
        <v>410</v>
      </c>
      <c r="D208" s="24" t="s">
        <v>18</v>
      </c>
      <c r="E208" s="24" t="s">
        <v>19</v>
      </c>
      <c r="F208" s="294" t="s">
        <v>26</v>
      </c>
      <c r="G208" s="351">
        <v>30</v>
      </c>
      <c r="H208" s="351">
        <v>30</v>
      </c>
      <c r="I208" s="351">
        <v>30</v>
      </c>
      <c r="J208" s="351">
        <v>40</v>
      </c>
      <c r="K208" s="351">
        <v>40</v>
      </c>
      <c r="L208" s="385" t="s">
        <v>411</v>
      </c>
      <c r="M208" s="72"/>
      <c r="N208" s="30"/>
      <c r="O208" s="31">
        <f>+J208-'[1]вересень (2)'!J188</f>
        <v>0</v>
      </c>
      <c r="P208" s="5"/>
      <c r="Q208" s="5">
        <f>+K208-'[1]вересень (2)'!K188</f>
        <v>0</v>
      </c>
      <c r="R208" s="5"/>
      <c r="AE208" s="207">
        <f>+J208-'[1]26.06. +спорт+днз№15'!J207</f>
        <v>0</v>
      </c>
    </row>
    <row r="209" spans="1:31" ht="105" customHeight="1" x14ac:dyDescent="0.45">
      <c r="A209" s="273"/>
      <c r="B209" s="48"/>
      <c r="C209" s="386" t="s">
        <v>412</v>
      </c>
      <c r="D209" s="132" t="s">
        <v>18</v>
      </c>
      <c r="E209" s="132" t="s">
        <v>19</v>
      </c>
      <c r="F209" s="65" t="s">
        <v>26</v>
      </c>
      <c r="G209" s="154">
        <v>10</v>
      </c>
      <c r="H209" s="287">
        <v>10</v>
      </c>
      <c r="I209" s="287">
        <v>10</v>
      </c>
      <c r="J209" s="287">
        <v>20</v>
      </c>
      <c r="K209" s="154">
        <v>10</v>
      </c>
      <c r="L209" s="288" t="s">
        <v>413</v>
      </c>
      <c r="M209" s="72">
        <v>20</v>
      </c>
      <c r="N209" s="30"/>
      <c r="O209" s="31">
        <f>+J209-'[1]вересень (2)'!J189</f>
        <v>10</v>
      </c>
      <c r="P209" s="5"/>
      <c r="Q209" s="5">
        <f>+K209-'[1]вересень (2)'!K189</f>
        <v>0</v>
      </c>
      <c r="R209" s="5"/>
      <c r="AE209" s="207">
        <f>+J209-'[1]26.06. +спорт+днз№15'!J208</f>
        <v>0</v>
      </c>
    </row>
    <row r="210" spans="1:31" ht="184.5" x14ac:dyDescent="0.45">
      <c r="A210" s="264"/>
      <c r="B210" s="59"/>
      <c r="C210" s="230" t="s">
        <v>414</v>
      </c>
      <c r="D210" s="60" t="s">
        <v>18</v>
      </c>
      <c r="E210" s="60" t="s">
        <v>19</v>
      </c>
      <c r="F210" s="213" t="s">
        <v>26</v>
      </c>
      <c r="G210" s="170">
        <v>20</v>
      </c>
      <c r="H210" s="170">
        <v>20</v>
      </c>
      <c r="I210" s="170">
        <v>20</v>
      </c>
      <c r="J210" s="170">
        <v>30</v>
      </c>
      <c r="K210" s="170">
        <v>30</v>
      </c>
      <c r="L210" s="61" t="s">
        <v>415</v>
      </c>
      <c r="M210" s="72"/>
      <c r="N210" s="30"/>
      <c r="O210" s="31">
        <f>+J210-'[1]вересень (2)'!J190</f>
        <v>0</v>
      </c>
      <c r="P210" s="5"/>
      <c r="Q210" s="5">
        <f>+K210-'[1]вересень (2)'!K190</f>
        <v>0</v>
      </c>
      <c r="R210" s="5"/>
      <c r="AE210" s="207">
        <f>+J210-'[1]26.06. +спорт+днз№15'!J209</f>
        <v>0</v>
      </c>
    </row>
    <row r="211" spans="1:31" ht="224.25" customHeight="1" x14ac:dyDescent="0.45">
      <c r="A211" s="656"/>
      <c r="B211" s="97" t="s">
        <v>416</v>
      </c>
      <c r="C211" s="65" t="s">
        <v>417</v>
      </c>
      <c r="D211" s="67" t="s">
        <v>18</v>
      </c>
      <c r="E211" s="67" t="s">
        <v>19</v>
      </c>
      <c r="F211" s="65" t="s">
        <v>26</v>
      </c>
      <c r="G211" s="157">
        <v>50</v>
      </c>
      <c r="H211" s="157">
        <v>50</v>
      </c>
      <c r="I211" s="157">
        <f>60+210</f>
        <v>270</v>
      </c>
      <c r="J211" s="157">
        <v>80</v>
      </c>
      <c r="K211" s="157">
        <v>80</v>
      </c>
      <c r="L211" s="181" t="s">
        <v>418</v>
      </c>
      <c r="M211" s="72">
        <v>80</v>
      </c>
      <c r="N211" s="30"/>
      <c r="O211" s="31">
        <f>+J211-'[1]вересень (2)'!J191</f>
        <v>10</v>
      </c>
      <c r="P211" s="5"/>
      <c r="Q211" s="5">
        <f>+K211-'[1]вересень (2)'!K191</f>
        <v>0</v>
      </c>
      <c r="R211" s="5"/>
      <c r="AE211" s="207">
        <f>+J211-'[1]26.06. +спорт+днз№15'!J210</f>
        <v>0</v>
      </c>
    </row>
    <row r="212" spans="1:31" ht="123" x14ac:dyDescent="0.45">
      <c r="A212" s="657"/>
      <c r="B212" s="48"/>
      <c r="C212" s="387" t="s">
        <v>419</v>
      </c>
      <c r="D212" s="121" t="s">
        <v>18</v>
      </c>
      <c r="E212" s="121" t="s">
        <v>19</v>
      </c>
      <c r="F212" s="172" t="s">
        <v>26</v>
      </c>
      <c r="G212" s="198">
        <v>40</v>
      </c>
      <c r="H212" s="198">
        <v>40</v>
      </c>
      <c r="I212" s="198">
        <v>40</v>
      </c>
      <c r="J212" s="198">
        <v>60</v>
      </c>
      <c r="K212" s="198">
        <v>40</v>
      </c>
      <c r="L212" s="292" t="s">
        <v>420</v>
      </c>
      <c r="M212" s="72">
        <v>60</v>
      </c>
      <c r="N212" s="30"/>
      <c r="O212" s="31">
        <f>+J212-'[1]вересень (2)'!J192</f>
        <v>20</v>
      </c>
      <c r="P212" s="5"/>
      <c r="Q212" s="5">
        <f>+K212-'[1]вересень (2)'!K192</f>
        <v>0</v>
      </c>
      <c r="R212" s="5"/>
      <c r="AE212" s="207">
        <f>+J212-'[1]26.06. +спорт+днз№15'!J211</f>
        <v>0</v>
      </c>
    </row>
    <row r="213" spans="1:31" ht="215.25" x14ac:dyDescent="0.45">
      <c r="A213" s="657"/>
      <c r="B213" s="297"/>
      <c r="C213" s="388" t="s">
        <v>421</v>
      </c>
      <c r="D213" s="139" t="s">
        <v>18</v>
      </c>
      <c r="E213" s="139" t="s">
        <v>19</v>
      </c>
      <c r="F213" s="294" t="s">
        <v>67</v>
      </c>
      <c r="G213" s="160">
        <v>0</v>
      </c>
      <c r="H213" s="160">
        <v>0</v>
      </c>
      <c r="I213" s="160">
        <v>0</v>
      </c>
      <c r="J213" s="160">
        <v>0</v>
      </c>
      <c r="K213" s="160">
        <v>0</v>
      </c>
      <c r="L213" s="71" t="s">
        <v>422</v>
      </c>
      <c r="M213" s="72"/>
      <c r="N213" s="30"/>
      <c r="O213" s="31">
        <f>+J213-'[1]вересень (2)'!J193</f>
        <v>0</v>
      </c>
      <c r="P213" s="5"/>
      <c r="Q213" s="5">
        <f>+K213-'[1]вересень (2)'!K193</f>
        <v>0</v>
      </c>
      <c r="R213" s="5"/>
      <c r="AE213" s="207">
        <f>+J213-'[1]26.06. +спорт+днз№15'!J212</f>
        <v>0</v>
      </c>
    </row>
    <row r="214" spans="1:31" ht="132.75" customHeight="1" x14ac:dyDescent="0.45">
      <c r="A214" s="212"/>
      <c r="B214" s="389" t="s">
        <v>423</v>
      </c>
      <c r="C214" s="23" t="s">
        <v>424</v>
      </c>
      <c r="D214" s="24" t="s">
        <v>18</v>
      </c>
      <c r="E214" s="24" t="s">
        <v>19</v>
      </c>
      <c r="F214" s="294" t="s">
        <v>67</v>
      </c>
      <c r="G214" s="160">
        <v>0</v>
      </c>
      <c r="H214" s="160">
        <v>0</v>
      </c>
      <c r="I214" s="160">
        <v>0</v>
      </c>
      <c r="J214" s="160">
        <v>0</v>
      </c>
      <c r="K214" s="160">
        <v>0</v>
      </c>
      <c r="L214" s="352" t="s">
        <v>425</v>
      </c>
      <c r="M214" s="72"/>
      <c r="N214" s="30"/>
      <c r="O214" s="31">
        <f>+J214-'[1]вересень (2)'!J194</f>
        <v>0</v>
      </c>
      <c r="P214" s="5"/>
      <c r="Q214" s="5">
        <f>+K214-'[1]вересень (2)'!K194</f>
        <v>0</v>
      </c>
      <c r="R214" s="5"/>
      <c r="AE214" s="207">
        <f>+J214-'[1]26.06. +спорт+днз№15'!J213</f>
        <v>0</v>
      </c>
    </row>
    <row r="215" spans="1:31" ht="247.5" customHeight="1" x14ac:dyDescent="0.45">
      <c r="A215" s="600"/>
      <c r="B215" s="48"/>
      <c r="C215" s="331" t="s">
        <v>426</v>
      </c>
      <c r="D215" s="132" t="s">
        <v>18</v>
      </c>
      <c r="E215" s="132" t="s">
        <v>19</v>
      </c>
      <c r="F215" s="65" t="s">
        <v>67</v>
      </c>
      <c r="G215" s="157">
        <v>0</v>
      </c>
      <c r="H215" s="157">
        <v>0</v>
      </c>
      <c r="I215" s="157">
        <v>0</v>
      </c>
      <c r="J215" s="157">
        <v>0</v>
      </c>
      <c r="K215" s="157">
        <v>0</v>
      </c>
      <c r="L215" s="288" t="s">
        <v>427</v>
      </c>
      <c r="M215" s="72"/>
      <c r="N215" s="30"/>
      <c r="O215" s="31">
        <f>+J215-'[1]вересень (2)'!J195</f>
        <v>0</v>
      </c>
      <c r="P215" s="5"/>
      <c r="Q215" s="5">
        <f>+K215-'[1]вересень (2)'!K195</f>
        <v>0</v>
      </c>
      <c r="R215" s="5"/>
      <c r="AE215" s="207">
        <f>+J215-'[1]26.06. +спорт+днз№15'!J214</f>
        <v>0</v>
      </c>
    </row>
    <row r="216" spans="1:31" ht="276.75" x14ac:dyDescent="0.45">
      <c r="A216" s="605"/>
      <c r="B216" s="297"/>
      <c r="C216" s="390" t="s">
        <v>428</v>
      </c>
      <c r="D216" s="67" t="s">
        <v>18</v>
      </c>
      <c r="E216" s="67" t="s">
        <v>19</v>
      </c>
      <c r="F216" s="65" t="s">
        <v>26</v>
      </c>
      <c r="G216" s="157">
        <v>20</v>
      </c>
      <c r="H216" s="157">
        <v>20</v>
      </c>
      <c r="I216" s="157">
        <v>20</v>
      </c>
      <c r="J216" s="157">
        <v>60</v>
      </c>
      <c r="K216" s="157">
        <v>30</v>
      </c>
      <c r="L216" s="181" t="s">
        <v>429</v>
      </c>
      <c r="M216" s="72">
        <v>60</v>
      </c>
      <c r="N216" s="30"/>
      <c r="O216" s="31">
        <f>+J216-'[1]вересень (2)'!J196</f>
        <v>30</v>
      </c>
      <c r="P216" s="5"/>
      <c r="Q216" s="5">
        <f>+K216-'[1]вересень (2)'!K196</f>
        <v>0</v>
      </c>
      <c r="R216" s="5"/>
      <c r="AE216" s="207">
        <f>+J216-'[1]26.06. +спорт+днз№15'!J215</f>
        <v>0</v>
      </c>
    </row>
    <row r="217" spans="1:31" ht="198" customHeight="1" x14ac:dyDescent="0.45">
      <c r="A217" s="212"/>
      <c r="B217" s="108" t="s">
        <v>430</v>
      </c>
      <c r="C217" s="66" t="s">
        <v>431</v>
      </c>
      <c r="D217" s="139" t="s">
        <v>18</v>
      </c>
      <c r="E217" s="139" t="s">
        <v>19</v>
      </c>
      <c r="F217" s="294" t="s">
        <v>67</v>
      </c>
      <c r="G217" s="160">
        <v>0</v>
      </c>
      <c r="H217" s="160">
        <v>0</v>
      </c>
      <c r="I217" s="160">
        <v>0</v>
      </c>
      <c r="J217" s="160">
        <v>0</v>
      </c>
      <c r="K217" s="160">
        <v>0</v>
      </c>
      <c r="L217" s="71" t="s">
        <v>432</v>
      </c>
      <c r="M217" s="72"/>
      <c r="N217" s="30"/>
      <c r="O217" s="31">
        <f>+J217-'[1]вересень (2)'!J197</f>
        <v>0</v>
      </c>
      <c r="P217" s="5"/>
      <c r="Q217" s="5">
        <f>+K217-'[1]вересень (2)'!K197</f>
        <v>0</v>
      </c>
      <c r="R217" s="5"/>
      <c r="AE217" s="207">
        <f>+J217-'[1]26.06. +спорт+днз№15'!J216</f>
        <v>0</v>
      </c>
    </row>
    <row r="218" spans="1:31" ht="136.5" customHeight="1" x14ac:dyDescent="0.45">
      <c r="A218" s="255"/>
      <c r="B218" s="48"/>
      <c r="C218" s="120" t="s">
        <v>433</v>
      </c>
      <c r="D218" s="317" t="s">
        <v>18</v>
      </c>
      <c r="E218" s="46" t="s">
        <v>19</v>
      </c>
      <c r="F218" s="156" t="s">
        <v>67</v>
      </c>
      <c r="G218" s="157">
        <v>0</v>
      </c>
      <c r="H218" s="157">
        <v>0</v>
      </c>
      <c r="I218" s="157">
        <v>0</v>
      </c>
      <c r="J218" s="157">
        <v>0</v>
      </c>
      <c r="K218" s="157">
        <v>0</v>
      </c>
      <c r="L218" s="288" t="s">
        <v>434</v>
      </c>
      <c r="M218" s="72"/>
      <c r="N218" s="30"/>
      <c r="O218" s="31">
        <f>+J218-'[1]вересень (2)'!J198</f>
        <v>0</v>
      </c>
      <c r="P218" s="5"/>
      <c r="Q218" s="5">
        <f>+K218-'[1]вересень (2)'!K198</f>
        <v>0</v>
      </c>
      <c r="R218" s="5"/>
      <c r="AE218" s="207">
        <f>+J218-'[1]26.06. +спорт+днз№15'!J217</f>
        <v>0</v>
      </c>
    </row>
    <row r="219" spans="1:31" ht="153.75" customHeight="1" x14ac:dyDescent="0.45">
      <c r="A219" s="391"/>
      <c r="B219" s="203"/>
      <c r="C219" s="392" t="s">
        <v>435</v>
      </c>
      <c r="D219" s="67" t="s">
        <v>18</v>
      </c>
      <c r="E219" s="67" t="s">
        <v>19</v>
      </c>
      <c r="F219" s="65" t="s">
        <v>67</v>
      </c>
      <c r="G219" s="157">
        <v>0</v>
      </c>
      <c r="H219" s="157">
        <v>0</v>
      </c>
      <c r="I219" s="157">
        <v>0</v>
      </c>
      <c r="J219" s="157">
        <v>0</v>
      </c>
      <c r="K219" s="157">
        <v>0</v>
      </c>
      <c r="L219" s="145" t="s">
        <v>436</v>
      </c>
      <c r="M219" s="30"/>
      <c r="N219" s="30"/>
      <c r="O219" s="31">
        <f>+J219-'[1]вересень (2)'!J199</f>
        <v>0</v>
      </c>
      <c r="P219" s="393"/>
      <c r="Q219" s="5">
        <f>+K219-'[1]вересень (2)'!K199</f>
        <v>0</v>
      </c>
      <c r="R219" s="5"/>
      <c r="AE219" s="207">
        <f>+J219-'[1]26.06. +спорт+днз№15'!J218</f>
        <v>0</v>
      </c>
    </row>
    <row r="220" spans="1:31" ht="215.25" x14ac:dyDescent="0.45">
      <c r="A220" s="394"/>
      <c r="B220" s="97" t="s">
        <v>437</v>
      </c>
      <c r="C220" s="140" t="s">
        <v>438</v>
      </c>
      <c r="D220" s="239" t="s">
        <v>18</v>
      </c>
      <c r="E220" s="46" t="s">
        <v>19</v>
      </c>
      <c r="F220" s="74" t="s">
        <v>67</v>
      </c>
      <c r="G220" s="232">
        <v>0</v>
      </c>
      <c r="H220" s="232">
        <v>0</v>
      </c>
      <c r="I220" s="232">
        <v>0</v>
      </c>
      <c r="J220" s="232">
        <v>0</v>
      </c>
      <c r="K220" s="232">
        <v>0</v>
      </c>
      <c r="L220" s="234" t="s">
        <v>439</v>
      </c>
      <c r="M220" s="72"/>
      <c r="N220" s="30"/>
      <c r="O220" s="31">
        <f>+J220-'[1]вересень (2)'!J200</f>
        <v>0</v>
      </c>
      <c r="P220" s="393"/>
      <c r="Q220" s="5">
        <f>+K220-'[1]вересень (2)'!K200</f>
        <v>0</v>
      </c>
      <c r="R220" s="5"/>
      <c r="AE220" s="207">
        <f>+J220-'[1]26.06. +спорт+днз№15'!J219</f>
        <v>0</v>
      </c>
    </row>
    <row r="221" spans="1:31" ht="159" customHeight="1" x14ac:dyDescent="0.45">
      <c r="A221" s="319"/>
      <c r="B221" s="48" t="s">
        <v>440</v>
      </c>
      <c r="C221" s="49" t="s">
        <v>441</v>
      </c>
      <c r="D221" s="46" t="s">
        <v>11</v>
      </c>
      <c r="E221" s="239" t="s">
        <v>19</v>
      </c>
      <c r="F221" s="49" t="s">
        <v>26</v>
      </c>
      <c r="G221" s="38">
        <v>0</v>
      </c>
      <c r="H221" s="38">
        <v>80</v>
      </c>
      <c r="I221" s="38">
        <v>0</v>
      </c>
      <c r="J221" s="38">
        <v>0</v>
      </c>
      <c r="K221" s="38">
        <v>0</v>
      </c>
      <c r="L221" s="112" t="s">
        <v>442</v>
      </c>
      <c r="M221" s="113"/>
      <c r="N221" s="113"/>
      <c r="O221" s="31">
        <f>+J221-'[1]вересень (2)'!J201</f>
        <v>0</v>
      </c>
      <c r="P221" s="393"/>
      <c r="Q221" s="5">
        <f>+K221-'[1]вересень (2)'!K201</f>
        <v>0</v>
      </c>
      <c r="R221" s="5"/>
      <c r="AE221" s="207">
        <f>+J221-'[1]26.06. +спорт+днз№15'!J220</f>
        <v>0</v>
      </c>
    </row>
    <row r="222" spans="1:31" ht="159" customHeight="1" x14ac:dyDescent="0.45">
      <c r="A222" s="319"/>
      <c r="B222" s="48"/>
      <c r="C222" s="49" t="s">
        <v>443</v>
      </c>
      <c r="D222" s="46" t="s">
        <v>214</v>
      </c>
      <c r="E222" s="46" t="s">
        <v>19</v>
      </c>
      <c r="F222" s="49" t="s">
        <v>26</v>
      </c>
      <c r="G222" s="38">
        <v>0</v>
      </c>
      <c r="H222" s="38">
        <v>0</v>
      </c>
      <c r="I222" s="38">
        <v>0</v>
      </c>
      <c r="J222" s="38">
        <v>100</v>
      </c>
      <c r="K222" s="38">
        <v>0</v>
      </c>
      <c r="L222" s="112" t="s">
        <v>444</v>
      </c>
      <c r="M222" s="113">
        <v>100</v>
      </c>
      <c r="N222" s="113"/>
      <c r="O222" s="31">
        <v>100</v>
      </c>
      <c r="P222" s="393"/>
      <c r="Q222" s="5"/>
      <c r="R222" s="5"/>
      <c r="AE222" s="207">
        <f>+J222-'[1]26.06. +спорт+днз№15'!J221</f>
        <v>0</v>
      </c>
    </row>
    <row r="223" spans="1:31" ht="42" customHeight="1" x14ac:dyDescent="0.45">
      <c r="A223" s="319"/>
      <c r="B223" s="48"/>
      <c r="C223" s="341" t="s">
        <v>63</v>
      </c>
      <c r="D223" s="237"/>
      <c r="E223" s="237"/>
      <c r="F223" s="237"/>
      <c r="G223" s="395">
        <f>SUM(G201:G222)</f>
        <v>530</v>
      </c>
      <c r="H223" s="395">
        <f>SUM(H201:H222)</f>
        <v>610</v>
      </c>
      <c r="I223" s="395">
        <f>SUM(I201:I222)</f>
        <v>795</v>
      </c>
      <c r="J223" s="395">
        <f>SUM(J201:J222)</f>
        <v>905</v>
      </c>
      <c r="K223" s="395">
        <f>SUM(K201:K222)</f>
        <v>710</v>
      </c>
      <c r="L223" s="396"/>
      <c r="M223" s="379"/>
      <c r="N223" s="397"/>
      <c r="O223" s="31"/>
      <c r="P223" s="393"/>
      <c r="Q223" s="5"/>
      <c r="R223" s="5"/>
      <c r="AE223" s="207">
        <f>+J223-'[1]26.06. +спорт+днз№15'!J222</f>
        <v>0</v>
      </c>
    </row>
    <row r="224" spans="1:31" ht="58.5" customHeight="1" x14ac:dyDescent="0.45">
      <c r="A224" s="394"/>
      <c r="B224" s="379"/>
      <c r="C224" s="641" t="s">
        <v>445</v>
      </c>
      <c r="D224" s="642"/>
      <c r="E224" s="642"/>
      <c r="F224" s="642"/>
      <c r="G224" s="642"/>
      <c r="H224" s="642"/>
      <c r="I224" s="642"/>
      <c r="J224" s="642"/>
      <c r="K224" s="643"/>
      <c r="L224" s="71"/>
      <c r="M224" s="72"/>
      <c r="N224" s="30"/>
      <c r="O224" s="31"/>
      <c r="P224" s="5"/>
      <c r="Q224" s="5"/>
      <c r="R224" s="5"/>
      <c r="AE224" s="207">
        <f>+J224-'[1]26.06. +спорт+днз№15'!J223</f>
        <v>0</v>
      </c>
    </row>
    <row r="225" spans="1:31" ht="236.25" customHeight="1" x14ac:dyDescent="0.45">
      <c r="A225" s="398">
        <v>10</v>
      </c>
      <c r="B225" s="84" t="s">
        <v>446</v>
      </c>
      <c r="C225" s="23" t="s">
        <v>447</v>
      </c>
      <c r="D225" s="24" t="s">
        <v>18</v>
      </c>
      <c r="E225" s="24" t="s">
        <v>19</v>
      </c>
      <c r="F225" s="294" t="s">
        <v>26</v>
      </c>
      <c r="G225" s="351">
        <v>100</v>
      </c>
      <c r="H225" s="351">
        <v>100</v>
      </c>
      <c r="I225" s="351">
        <v>100</v>
      </c>
      <c r="J225" s="351">
        <v>100</v>
      </c>
      <c r="K225" s="351">
        <v>100</v>
      </c>
      <c r="L225" s="152" t="s">
        <v>448</v>
      </c>
      <c r="M225" s="30"/>
      <c r="N225" s="30"/>
      <c r="O225" s="31">
        <f>+J225-'[1]вересень (2)'!J204</f>
        <v>0</v>
      </c>
      <c r="P225" s="5"/>
      <c r="Q225" s="5">
        <f>+K225-'[1]вересень (2)'!K204</f>
        <v>0</v>
      </c>
      <c r="R225" s="5"/>
      <c r="AE225" s="207">
        <f>+J225-'[1]26.06. +спорт+днз№15'!J224</f>
        <v>0</v>
      </c>
    </row>
    <row r="226" spans="1:31" ht="164.25" customHeight="1" x14ac:dyDescent="0.45">
      <c r="A226" s="273"/>
      <c r="B226" s="48"/>
      <c r="C226" s="186" t="s">
        <v>449</v>
      </c>
      <c r="D226" s="132" t="s">
        <v>18</v>
      </c>
      <c r="E226" s="132" t="s">
        <v>19</v>
      </c>
      <c r="F226" s="65" t="s">
        <v>26</v>
      </c>
      <c r="G226" s="154">
        <v>40</v>
      </c>
      <c r="H226" s="154">
        <v>40</v>
      </c>
      <c r="I226" s="154">
        <v>40</v>
      </c>
      <c r="J226" s="154">
        <v>60</v>
      </c>
      <c r="K226" s="154">
        <v>40</v>
      </c>
      <c r="L226" s="288" t="s">
        <v>450</v>
      </c>
      <c r="M226" s="72">
        <v>60</v>
      </c>
      <c r="N226" s="30"/>
      <c r="O226" s="31">
        <f>+J226-'[1]вересень (2)'!J205</f>
        <v>20</v>
      </c>
      <c r="P226" s="5"/>
      <c r="Q226" s="5">
        <f>+K226-'[1]вересень (2)'!K205</f>
        <v>0</v>
      </c>
      <c r="R226" s="5"/>
      <c r="AE226" s="207">
        <f>+J226-'[1]26.06. +спорт+днз№15'!J225</f>
        <v>0</v>
      </c>
    </row>
    <row r="227" spans="1:31" ht="153.75" x14ac:dyDescent="0.45">
      <c r="A227" s="319"/>
      <c r="B227" s="59"/>
      <c r="C227" s="293" t="s">
        <v>451</v>
      </c>
      <c r="D227" s="139" t="s">
        <v>18</v>
      </c>
      <c r="E227" s="139" t="s">
        <v>19</v>
      </c>
      <c r="F227" s="294" t="s">
        <v>26</v>
      </c>
      <c r="G227" s="160">
        <v>120</v>
      </c>
      <c r="H227" s="160">
        <v>120</v>
      </c>
      <c r="I227" s="160">
        <v>120</v>
      </c>
      <c r="J227" s="160">
        <v>160</v>
      </c>
      <c r="K227" s="160">
        <v>120</v>
      </c>
      <c r="L227" s="71" t="s">
        <v>452</v>
      </c>
      <c r="M227" s="72">
        <v>160</v>
      </c>
      <c r="N227" s="30"/>
      <c r="O227" s="31">
        <f>+J227-'[1]вересень (2)'!J206</f>
        <v>40</v>
      </c>
      <c r="P227" s="5"/>
      <c r="Q227" s="5">
        <f>+K227-'[1]вересень (2)'!K206</f>
        <v>0</v>
      </c>
      <c r="R227" s="5"/>
      <c r="AE227" s="207">
        <f>+J227-'[1]26.06. +спорт+днз№15'!J226</f>
        <v>0</v>
      </c>
    </row>
    <row r="228" spans="1:31" ht="135" customHeight="1" x14ac:dyDescent="0.45">
      <c r="A228" s="255"/>
      <c r="B228" s="216"/>
      <c r="C228" s="120" t="s">
        <v>453</v>
      </c>
      <c r="D228" s="132" t="s">
        <v>18</v>
      </c>
      <c r="E228" s="132" t="s">
        <v>19</v>
      </c>
      <c r="F228" s="65" t="s">
        <v>26</v>
      </c>
      <c r="G228" s="154">
        <v>40</v>
      </c>
      <c r="H228" s="154">
        <v>40</v>
      </c>
      <c r="I228" s="154">
        <v>40</v>
      </c>
      <c r="J228" s="154">
        <v>100</v>
      </c>
      <c r="K228" s="154">
        <v>40</v>
      </c>
      <c r="L228" s="288" t="s">
        <v>454</v>
      </c>
      <c r="M228" s="72">
        <v>100</v>
      </c>
      <c r="N228" s="30"/>
      <c r="O228" s="31">
        <f>+J228-'[1]вересень (2)'!J207</f>
        <v>60</v>
      </c>
      <c r="P228" s="5"/>
      <c r="Q228" s="5">
        <f>+K228-'[1]вересень (2)'!K207</f>
        <v>0</v>
      </c>
      <c r="R228" s="5"/>
      <c r="AE228" s="207">
        <f>+J228-'[1]26.06. +спорт+днз№15'!J227</f>
        <v>0</v>
      </c>
    </row>
    <row r="229" spans="1:31" ht="174.75" customHeight="1" x14ac:dyDescent="0.45">
      <c r="A229" s="255"/>
      <c r="B229" s="297"/>
      <c r="C229" s="156" t="s">
        <v>455</v>
      </c>
      <c r="D229" s="67" t="s">
        <v>18</v>
      </c>
      <c r="E229" s="67" t="s">
        <v>19</v>
      </c>
      <c r="F229" s="65" t="s">
        <v>26</v>
      </c>
      <c r="G229" s="157">
        <v>70</v>
      </c>
      <c r="H229" s="157">
        <v>70</v>
      </c>
      <c r="I229" s="157">
        <v>70</v>
      </c>
      <c r="J229" s="157">
        <v>100</v>
      </c>
      <c r="K229" s="157">
        <v>70</v>
      </c>
      <c r="L229" s="181" t="s">
        <v>456</v>
      </c>
      <c r="M229" s="72">
        <v>160</v>
      </c>
      <c r="N229" s="30"/>
      <c r="O229" s="31">
        <f>+J229-'[1]вересень (2)'!J208</f>
        <v>30</v>
      </c>
      <c r="P229" s="5"/>
      <c r="Q229" s="5">
        <f>+K229-'[1]вересень (2)'!K208</f>
        <v>0</v>
      </c>
      <c r="R229" s="5"/>
      <c r="AE229" s="207">
        <f>+J229-'[1]26.06. +спорт+днз№15'!J228</f>
        <v>0</v>
      </c>
    </row>
    <row r="230" spans="1:31" ht="135" customHeight="1" x14ac:dyDescent="0.45">
      <c r="A230" s="319"/>
      <c r="B230" s="297"/>
      <c r="C230" s="293" t="s">
        <v>457</v>
      </c>
      <c r="D230" s="139" t="s">
        <v>18</v>
      </c>
      <c r="E230" s="139" t="s">
        <v>19</v>
      </c>
      <c r="F230" s="294" t="s">
        <v>26</v>
      </c>
      <c r="G230" s="160">
        <v>10</v>
      </c>
      <c r="H230" s="160">
        <v>10</v>
      </c>
      <c r="I230" s="160">
        <v>10</v>
      </c>
      <c r="J230" s="160">
        <v>20</v>
      </c>
      <c r="K230" s="160">
        <v>15</v>
      </c>
      <c r="L230" s="71" t="s">
        <v>458</v>
      </c>
      <c r="M230" s="72">
        <v>20</v>
      </c>
      <c r="N230" s="30"/>
      <c r="O230" s="31">
        <f>+J230-'[1]вересень (2)'!J209</f>
        <v>5</v>
      </c>
      <c r="P230" s="5"/>
      <c r="Q230" s="5">
        <f>+K230-'[1]вересень (2)'!K209</f>
        <v>0</v>
      </c>
      <c r="R230" s="5"/>
      <c r="AE230" s="207">
        <f>+J230-'[1]26.06. +спорт+днз№15'!J229</f>
        <v>0</v>
      </c>
    </row>
    <row r="231" spans="1:31" ht="133.5" customHeight="1" x14ac:dyDescent="0.45">
      <c r="A231" s="255"/>
      <c r="B231" s="216"/>
      <c r="C231" s="386" t="s">
        <v>459</v>
      </c>
      <c r="D231" s="132" t="s">
        <v>18</v>
      </c>
      <c r="E231" s="132" t="s">
        <v>19</v>
      </c>
      <c r="F231" s="65" t="s">
        <v>26</v>
      </c>
      <c r="G231" s="154">
        <v>15</v>
      </c>
      <c r="H231" s="154">
        <v>15</v>
      </c>
      <c r="I231" s="154">
        <v>15</v>
      </c>
      <c r="J231" s="154">
        <v>15</v>
      </c>
      <c r="K231" s="154">
        <v>15</v>
      </c>
      <c r="L231" s="155" t="s">
        <v>460</v>
      </c>
      <c r="M231" s="399">
        <v>300</v>
      </c>
      <c r="N231" s="30"/>
      <c r="O231" s="31">
        <f>+J231-'[1]вересень (2)'!J210</f>
        <v>0</v>
      </c>
      <c r="P231" s="5"/>
      <c r="Q231" s="5">
        <f>+K231-'[1]вересень (2)'!K210</f>
        <v>0</v>
      </c>
      <c r="R231" s="5"/>
      <c r="AE231" s="207">
        <f>+J231-'[1]26.06. +спорт+днз№15'!J230</f>
        <v>0</v>
      </c>
    </row>
    <row r="232" spans="1:31" ht="159.75" customHeight="1" x14ac:dyDescent="0.45">
      <c r="A232" s="319"/>
      <c r="B232" s="216"/>
      <c r="C232" s="293" t="s">
        <v>461</v>
      </c>
      <c r="D232" s="139" t="s">
        <v>18</v>
      </c>
      <c r="E232" s="139" t="s">
        <v>19</v>
      </c>
      <c r="F232" s="294" t="s">
        <v>26</v>
      </c>
      <c r="G232" s="160">
        <v>5</v>
      </c>
      <c r="H232" s="160">
        <v>5</v>
      </c>
      <c r="I232" s="160">
        <v>5</v>
      </c>
      <c r="J232" s="160">
        <v>40</v>
      </c>
      <c r="K232" s="160">
        <v>10</v>
      </c>
      <c r="L232" s="71" t="s">
        <v>462</v>
      </c>
      <c r="M232" s="72">
        <v>40</v>
      </c>
      <c r="N232" s="30"/>
      <c r="O232" s="31">
        <f>+J232-'[1]вересень (2)'!J211</f>
        <v>30</v>
      </c>
      <c r="P232" s="5"/>
      <c r="Q232" s="5">
        <f>+K232-'[1]вересень (2)'!K211</f>
        <v>0</v>
      </c>
      <c r="R232" s="5"/>
      <c r="AE232" s="207">
        <f>+J232-'[1]26.06. +спорт+днз№15'!J231</f>
        <v>0</v>
      </c>
    </row>
    <row r="233" spans="1:31" ht="207.75" customHeight="1" x14ac:dyDescent="0.45">
      <c r="A233" s="319"/>
      <c r="B233" s="216"/>
      <c r="C233" s="293" t="s">
        <v>463</v>
      </c>
      <c r="D233" s="36" t="s">
        <v>18</v>
      </c>
      <c r="E233" s="46" t="s">
        <v>19</v>
      </c>
      <c r="F233" s="293" t="s">
        <v>26</v>
      </c>
      <c r="G233" s="160">
        <v>4</v>
      </c>
      <c r="H233" s="160">
        <v>4</v>
      </c>
      <c r="I233" s="160">
        <v>6</v>
      </c>
      <c r="J233" s="160">
        <v>10</v>
      </c>
      <c r="K233" s="160">
        <v>6</v>
      </c>
      <c r="L233" s="71" t="s">
        <v>464</v>
      </c>
      <c r="M233" s="72">
        <v>10</v>
      </c>
      <c r="N233" s="30"/>
      <c r="O233" s="31">
        <f>+J233-'[1]вересень (2)'!J212</f>
        <v>4</v>
      </c>
      <c r="P233" s="5"/>
      <c r="Q233" s="5">
        <f>+K233-'[1]вересень (2)'!K212</f>
        <v>0</v>
      </c>
      <c r="R233" s="5"/>
      <c r="AE233" s="207">
        <f>+J233-'[1]26.06. +спорт+днз№15'!J232</f>
        <v>0</v>
      </c>
    </row>
    <row r="234" spans="1:31" ht="184.5" x14ac:dyDescent="0.45">
      <c r="A234" s="319"/>
      <c r="B234" s="216"/>
      <c r="C234" s="400" t="s">
        <v>465</v>
      </c>
      <c r="D234" s="46" t="s">
        <v>214</v>
      </c>
      <c r="E234" s="46" t="s">
        <v>19</v>
      </c>
      <c r="F234" s="49" t="s">
        <v>26</v>
      </c>
      <c r="G234" s="38">
        <v>0</v>
      </c>
      <c r="H234" s="38">
        <v>0</v>
      </c>
      <c r="I234" s="38">
        <v>0</v>
      </c>
      <c r="J234" s="38">
        <v>60</v>
      </c>
      <c r="K234" s="38">
        <v>0</v>
      </c>
      <c r="L234" s="52" t="s">
        <v>466</v>
      </c>
      <c r="M234" s="72">
        <v>60</v>
      </c>
      <c r="N234" s="30"/>
      <c r="O234" s="31"/>
      <c r="P234" s="5"/>
      <c r="Q234" s="5"/>
      <c r="R234" s="5"/>
      <c r="AE234" s="207">
        <f>+J234-'[1]26.06. +спорт+днз№15'!J233</f>
        <v>0</v>
      </c>
    </row>
    <row r="235" spans="1:31" ht="285" customHeight="1" x14ac:dyDescent="0.45">
      <c r="A235" s="273"/>
      <c r="B235" s="48" t="s">
        <v>467</v>
      </c>
      <c r="C235" s="386" t="s">
        <v>468</v>
      </c>
      <c r="D235" s="132" t="s">
        <v>18</v>
      </c>
      <c r="E235" s="67" t="s">
        <v>19</v>
      </c>
      <c r="F235" s="65" t="s">
        <v>67</v>
      </c>
      <c r="G235" s="154">
        <v>0</v>
      </c>
      <c r="H235" s="154">
        <v>0</v>
      </c>
      <c r="I235" s="154">
        <v>0</v>
      </c>
      <c r="J235" s="154">
        <v>0</v>
      </c>
      <c r="K235" s="154">
        <v>0</v>
      </c>
      <c r="L235" s="288" t="s">
        <v>469</v>
      </c>
      <c r="M235" s="72"/>
      <c r="N235" s="30"/>
      <c r="O235" s="31">
        <f>+J235-'[1]вересень (2)'!J213</f>
        <v>0</v>
      </c>
      <c r="P235" s="5"/>
      <c r="Q235" s="5">
        <f>+K235-'[1]вересень (2)'!K213</f>
        <v>0</v>
      </c>
      <c r="R235" s="5"/>
      <c r="AE235" s="207">
        <f>+J235-'[1]26.06. +спорт+днз№15'!J234</f>
        <v>0</v>
      </c>
    </row>
    <row r="236" spans="1:31" ht="184.5" x14ac:dyDescent="0.45">
      <c r="A236" s="255"/>
      <c r="B236" s="59"/>
      <c r="C236" s="390" t="s">
        <v>470</v>
      </c>
      <c r="D236" s="67" t="s">
        <v>18</v>
      </c>
      <c r="E236" s="67" t="s">
        <v>19</v>
      </c>
      <c r="F236" s="65" t="s">
        <v>67</v>
      </c>
      <c r="G236" s="157">
        <v>0</v>
      </c>
      <c r="H236" s="157">
        <v>0</v>
      </c>
      <c r="I236" s="157">
        <v>0</v>
      </c>
      <c r="J236" s="157">
        <v>0</v>
      </c>
      <c r="K236" s="157">
        <v>0</v>
      </c>
      <c r="L236" s="181" t="s">
        <v>471</v>
      </c>
      <c r="M236" s="72"/>
      <c r="N236" s="30"/>
      <c r="O236" s="31">
        <f>+J236-'[1]вересень (2)'!J214</f>
        <v>0</v>
      </c>
      <c r="P236" s="5"/>
      <c r="Q236" s="5">
        <f>+K236-'[1]вересень (2)'!K214</f>
        <v>0</v>
      </c>
      <c r="R236" s="5"/>
      <c r="AE236" s="207">
        <f>+J236-'[1]26.06. +спорт+днз№15'!J235</f>
        <v>0</v>
      </c>
    </row>
    <row r="237" spans="1:31" ht="215.25" x14ac:dyDescent="0.45">
      <c r="A237" s="255"/>
      <c r="B237" s="59"/>
      <c r="C237" s="331" t="s">
        <v>472</v>
      </c>
      <c r="D237" s="67" t="s">
        <v>18</v>
      </c>
      <c r="E237" s="67" t="s">
        <v>19</v>
      </c>
      <c r="F237" s="65" t="s">
        <v>67</v>
      </c>
      <c r="G237" s="157">
        <v>0</v>
      </c>
      <c r="H237" s="157">
        <v>0</v>
      </c>
      <c r="I237" s="157">
        <v>0</v>
      </c>
      <c r="J237" s="157">
        <v>0</v>
      </c>
      <c r="K237" s="157">
        <v>0</v>
      </c>
      <c r="L237" s="181" t="s">
        <v>473</v>
      </c>
      <c r="M237" s="72"/>
      <c r="N237" s="30"/>
      <c r="O237" s="31">
        <f>+J237-'[1]вересень (2)'!J215</f>
        <v>0</v>
      </c>
      <c r="P237" s="5"/>
      <c r="Q237" s="5">
        <f>+K237-'[1]вересень (2)'!K215</f>
        <v>0</v>
      </c>
      <c r="R237" s="5"/>
      <c r="AE237" s="207">
        <f>+J237-'[1]26.06. +спорт+днз№15'!J236</f>
        <v>0</v>
      </c>
    </row>
    <row r="238" spans="1:31" ht="246" x14ac:dyDescent="0.45">
      <c r="A238" s="657"/>
      <c r="B238" s="59" t="s">
        <v>474</v>
      </c>
      <c r="C238" s="156" t="s">
        <v>475</v>
      </c>
      <c r="D238" s="67" t="s">
        <v>18</v>
      </c>
      <c r="E238" s="67" t="s">
        <v>19</v>
      </c>
      <c r="F238" s="65" t="s">
        <v>26</v>
      </c>
      <c r="G238" s="157">
        <v>6</v>
      </c>
      <c r="H238" s="157">
        <v>6</v>
      </c>
      <c r="I238" s="157">
        <v>8</v>
      </c>
      <c r="J238" s="157">
        <v>20</v>
      </c>
      <c r="K238" s="157">
        <v>8</v>
      </c>
      <c r="L238" s="181" t="s">
        <v>464</v>
      </c>
      <c r="M238" s="72">
        <v>20</v>
      </c>
      <c r="N238" s="30"/>
      <c r="O238" s="31">
        <f>+J238-'[1]вересень (2)'!J216</f>
        <v>12</v>
      </c>
      <c r="P238" s="5"/>
      <c r="Q238" s="5">
        <f>+K238-'[1]вересень (2)'!K216</f>
        <v>0</v>
      </c>
      <c r="R238" s="5"/>
      <c r="AE238" s="207">
        <f>+J238-'[1]26.06. +спорт+днз№15'!J237</f>
        <v>0</v>
      </c>
    </row>
    <row r="239" spans="1:31" ht="153.75" x14ac:dyDescent="0.45">
      <c r="A239" s="657"/>
      <c r="B239" s="97"/>
      <c r="C239" s="65" t="s">
        <v>476</v>
      </c>
      <c r="D239" s="67" t="s">
        <v>18</v>
      </c>
      <c r="E239" s="67" t="s">
        <v>19</v>
      </c>
      <c r="F239" s="65" t="s">
        <v>26</v>
      </c>
      <c r="G239" s="157">
        <v>6</v>
      </c>
      <c r="H239" s="157">
        <v>6</v>
      </c>
      <c r="I239" s="157">
        <v>6</v>
      </c>
      <c r="J239" s="157">
        <v>10</v>
      </c>
      <c r="K239" s="157">
        <v>8</v>
      </c>
      <c r="L239" s="181" t="s">
        <v>477</v>
      </c>
      <c r="M239" s="72">
        <v>10</v>
      </c>
      <c r="N239" s="30"/>
      <c r="O239" s="31">
        <f>+J239-'[1]вересень (2)'!J217</f>
        <v>2</v>
      </c>
      <c r="P239" s="5"/>
      <c r="Q239" s="5">
        <f>+K239-'[1]вересень (2)'!K217</f>
        <v>0</v>
      </c>
      <c r="R239" s="5"/>
      <c r="AE239" s="207">
        <f>+J239-'[1]26.06. +спорт+днз№15'!J238</f>
        <v>0</v>
      </c>
    </row>
    <row r="240" spans="1:31" ht="369" x14ac:dyDescent="0.45">
      <c r="A240" s="657"/>
      <c r="B240" s="108"/>
      <c r="C240" s="294" t="s">
        <v>478</v>
      </c>
      <c r="D240" s="139" t="s">
        <v>18</v>
      </c>
      <c r="E240" s="139" t="s">
        <v>19</v>
      </c>
      <c r="F240" s="294" t="s">
        <v>67</v>
      </c>
      <c r="G240" s="160">
        <v>0</v>
      </c>
      <c r="H240" s="160">
        <v>0</v>
      </c>
      <c r="I240" s="160">
        <v>0</v>
      </c>
      <c r="J240" s="160">
        <v>0</v>
      </c>
      <c r="K240" s="160">
        <v>0</v>
      </c>
      <c r="L240" s="71" t="s">
        <v>479</v>
      </c>
      <c r="M240" s="72"/>
      <c r="N240" s="30"/>
      <c r="O240" s="31">
        <f>+J240-'[1]вересень (2)'!J218</f>
        <v>0</v>
      </c>
      <c r="P240" s="5"/>
      <c r="Q240" s="5">
        <f>+K240-'[1]вересень (2)'!K218</f>
        <v>0</v>
      </c>
      <c r="R240" s="5"/>
      <c r="AE240" s="207">
        <f>+J240-'[1]26.06. +спорт+днз№15'!J239</f>
        <v>0</v>
      </c>
    </row>
    <row r="241" spans="1:31" ht="184.5" x14ac:dyDescent="0.45">
      <c r="A241" s="264"/>
      <c r="B241" s="179" t="s">
        <v>480</v>
      </c>
      <c r="C241" s="401" t="s">
        <v>481</v>
      </c>
      <c r="D241" s="132" t="s">
        <v>18</v>
      </c>
      <c r="E241" s="132" t="s">
        <v>19</v>
      </c>
      <c r="F241" s="65" t="s">
        <v>67</v>
      </c>
      <c r="G241" s="154">
        <v>0</v>
      </c>
      <c r="H241" s="154">
        <v>0</v>
      </c>
      <c r="I241" s="154">
        <v>0</v>
      </c>
      <c r="J241" s="154">
        <v>0</v>
      </c>
      <c r="K241" s="154">
        <v>0</v>
      </c>
      <c r="L241" s="288" t="s">
        <v>482</v>
      </c>
      <c r="M241" s="72"/>
      <c r="N241" s="30"/>
      <c r="O241" s="31">
        <f>+J241-'[1]вересень (2)'!J219</f>
        <v>0</v>
      </c>
      <c r="P241" s="5"/>
      <c r="Q241" s="5">
        <f>+K241-'[1]вересень (2)'!K219</f>
        <v>0</v>
      </c>
      <c r="R241" s="5"/>
      <c r="AE241" s="207">
        <f>+J241-'[1]26.06. +спорт+днз№15'!J240</f>
        <v>0</v>
      </c>
    </row>
    <row r="242" spans="1:31" ht="153" customHeight="1" x14ac:dyDescent="0.45">
      <c r="A242" s="300"/>
      <c r="B242" s="59"/>
      <c r="C242" s="331" t="s">
        <v>483</v>
      </c>
      <c r="D242" s="67" t="s">
        <v>18</v>
      </c>
      <c r="E242" s="67" t="s">
        <v>19</v>
      </c>
      <c r="F242" s="65" t="s">
        <v>67</v>
      </c>
      <c r="G242" s="157">
        <v>0</v>
      </c>
      <c r="H242" s="157">
        <v>0</v>
      </c>
      <c r="I242" s="157">
        <v>0</v>
      </c>
      <c r="J242" s="157">
        <v>0</v>
      </c>
      <c r="K242" s="157">
        <v>0</v>
      </c>
      <c r="L242" s="181" t="s">
        <v>484</v>
      </c>
      <c r="M242" s="72"/>
      <c r="N242" s="30"/>
      <c r="O242" s="31">
        <f>+J242-'[1]вересень (2)'!J220</f>
        <v>0</v>
      </c>
      <c r="P242" s="5"/>
      <c r="Q242" s="5">
        <f>+K242-'[1]вересень (2)'!K220</f>
        <v>0</v>
      </c>
      <c r="R242" s="5"/>
      <c r="AE242" s="207">
        <f>+J242-'[1]26.06. +спорт+днз№15'!J241</f>
        <v>0</v>
      </c>
    </row>
    <row r="243" spans="1:31" ht="215.25" x14ac:dyDescent="0.45">
      <c r="A243" s="255"/>
      <c r="B243" s="59"/>
      <c r="C243" s="331" t="s">
        <v>485</v>
      </c>
      <c r="D243" s="67" t="s">
        <v>18</v>
      </c>
      <c r="E243" s="67" t="s">
        <v>19</v>
      </c>
      <c r="F243" s="65" t="s">
        <v>26</v>
      </c>
      <c r="G243" s="157">
        <v>70</v>
      </c>
      <c r="H243" s="157">
        <v>70</v>
      </c>
      <c r="I243" s="157">
        <v>70</v>
      </c>
      <c r="J243" s="157">
        <v>80</v>
      </c>
      <c r="K243" s="157">
        <v>70</v>
      </c>
      <c r="L243" s="181" t="s">
        <v>486</v>
      </c>
      <c r="M243" s="72">
        <v>80</v>
      </c>
      <c r="N243" s="30"/>
      <c r="O243" s="31">
        <f>+J243-'[1]вересень (2)'!J221</f>
        <v>10</v>
      </c>
      <c r="P243" s="5"/>
      <c r="Q243" s="5">
        <f>+K243-'[1]вересень (2)'!K221</f>
        <v>0</v>
      </c>
      <c r="R243" s="5"/>
      <c r="AE243" s="207">
        <f>+J243-'[1]26.06. +спорт+днз№15'!J242</f>
        <v>0</v>
      </c>
    </row>
    <row r="244" spans="1:31" ht="211.5" customHeight="1" x14ac:dyDescent="0.45">
      <c r="A244" s="319"/>
      <c r="B244" s="59"/>
      <c r="C244" s="358" t="s">
        <v>487</v>
      </c>
      <c r="D244" s="139" t="s">
        <v>18</v>
      </c>
      <c r="E244" s="139" t="s">
        <v>19</v>
      </c>
      <c r="F244" s="294" t="s">
        <v>67</v>
      </c>
      <c r="G244" s="160">
        <v>0</v>
      </c>
      <c r="H244" s="160">
        <v>0</v>
      </c>
      <c r="I244" s="160">
        <v>0</v>
      </c>
      <c r="J244" s="160">
        <v>0</v>
      </c>
      <c r="K244" s="160">
        <v>0</v>
      </c>
      <c r="L244" s="161" t="s">
        <v>488</v>
      </c>
      <c r="M244" s="30"/>
      <c r="N244" s="30"/>
      <c r="O244" s="31">
        <f>+J244-'[1]вересень (2)'!J222</f>
        <v>0</v>
      </c>
      <c r="P244" s="5"/>
      <c r="Q244" s="5">
        <f>+K244-'[1]вересень (2)'!K222</f>
        <v>0</v>
      </c>
      <c r="R244" s="5"/>
      <c r="AE244" s="207">
        <f>+J244-'[1]26.06. +спорт+днз№15'!J243</f>
        <v>0</v>
      </c>
    </row>
    <row r="245" spans="1:31" ht="184.5" x14ac:dyDescent="0.45">
      <c r="A245" s="319"/>
      <c r="B245" s="48"/>
      <c r="C245" s="384" t="s">
        <v>489</v>
      </c>
      <c r="D245" s="24" t="s">
        <v>18</v>
      </c>
      <c r="E245" s="132" t="s">
        <v>19</v>
      </c>
      <c r="F245" s="294" t="s">
        <v>67</v>
      </c>
      <c r="G245" s="351">
        <v>0</v>
      </c>
      <c r="H245" s="351">
        <v>0</v>
      </c>
      <c r="I245" s="351">
        <v>0</v>
      </c>
      <c r="J245" s="351">
        <v>0</v>
      </c>
      <c r="K245" s="351">
        <v>0</v>
      </c>
      <c r="L245" s="352" t="s">
        <v>490</v>
      </c>
      <c r="M245" s="72"/>
      <c r="N245" s="30"/>
      <c r="O245" s="31">
        <f>+J245-'[1]вересень (2)'!J223</f>
        <v>0</v>
      </c>
      <c r="P245" s="5"/>
      <c r="Q245" s="5">
        <f>+K245-'[1]вересень (2)'!K223</f>
        <v>0</v>
      </c>
      <c r="R245" s="5"/>
      <c r="AE245" s="207">
        <f>+J245-'[1]26.06. +спорт+днз№15'!J244</f>
        <v>0</v>
      </c>
    </row>
    <row r="246" spans="1:31" ht="305.25" customHeight="1" x14ac:dyDescent="0.45">
      <c r="A246" s="202"/>
      <c r="B246" s="370" t="s">
        <v>491</v>
      </c>
      <c r="C246" s="153" t="s">
        <v>492</v>
      </c>
      <c r="D246" s="132" t="s">
        <v>18</v>
      </c>
      <c r="E246" s="132" t="s">
        <v>19</v>
      </c>
      <c r="F246" s="153" t="s">
        <v>26</v>
      </c>
      <c r="G246" s="154">
        <v>20</v>
      </c>
      <c r="H246" s="154">
        <v>20</v>
      </c>
      <c r="I246" s="154">
        <v>20</v>
      </c>
      <c r="J246" s="154">
        <v>40</v>
      </c>
      <c r="K246" s="154">
        <v>20</v>
      </c>
      <c r="L246" s="288" t="s">
        <v>493</v>
      </c>
      <c r="M246" s="72">
        <v>40</v>
      </c>
      <c r="N246" s="30"/>
      <c r="O246" s="31">
        <f>+J246-'[1]вересень (2)'!J224</f>
        <v>20</v>
      </c>
      <c r="P246" s="5"/>
      <c r="Q246" s="5">
        <f>+K246-'[1]вересень (2)'!K224</f>
        <v>0</v>
      </c>
      <c r="R246" s="5"/>
      <c r="AE246" s="207">
        <f>+J246-'[1]26.06. +спорт+днз№15'!J245</f>
        <v>0</v>
      </c>
    </row>
    <row r="247" spans="1:31" ht="192" customHeight="1" x14ac:dyDescent="0.45">
      <c r="A247" s="212"/>
      <c r="B247" s="48" t="s">
        <v>494</v>
      </c>
      <c r="C247" s="400" t="s">
        <v>495</v>
      </c>
      <c r="D247" s="46" t="s">
        <v>18</v>
      </c>
      <c r="E247" s="46" t="s">
        <v>19</v>
      </c>
      <c r="F247" s="49" t="s">
        <v>26</v>
      </c>
      <c r="G247" s="38">
        <v>30</v>
      </c>
      <c r="H247" s="38">
        <v>30</v>
      </c>
      <c r="I247" s="38">
        <v>30</v>
      </c>
      <c r="J247" s="38">
        <v>60</v>
      </c>
      <c r="K247" s="38">
        <v>30</v>
      </c>
      <c r="L247" s="52" t="s">
        <v>496</v>
      </c>
      <c r="M247" s="72">
        <v>60</v>
      </c>
      <c r="N247" s="30"/>
      <c r="O247" s="31">
        <f>+J247-'[1]вересень (2)'!J225</f>
        <v>30</v>
      </c>
      <c r="P247" s="5"/>
      <c r="Q247" s="5">
        <f>+K247-'[1]вересень (2)'!K225</f>
        <v>0</v>
      </c>
      <c r="R247" s="5"/>
      <c r="AE247" s="207">
        <f>+J247-'[1]26.06. +спорт+днз№15'!J246</f>
        <v>0</v>
      </c>
    </row>
    <row r="248" spans="1:31" ht="51.75" customHeight="1" x14ac:dyDescent="0.45">
      <c r="A248" s="300"/>
      <c r="B248" s="59"/>
      <c r="C248" s="402" t="s">
        <v>63</v>
      </c>
      <c r="D248" s="332"/>
      <c r="E248" s="332"/>
      <c r="F248" s="65"/>
      <c r="G248" s="312">
        <f>SUM(G225:G247)</f>
        <v>536</v>
      </c>
      <c r="H248" s="312">
        <f>SUM(H225:H247)</f>
        <v>536</v>
      </c>
      <c r="I248" s="312">
        <f>SUM(I225:I247)</f>
        <v>540</v>
      </c>
      <c r="J248" s="312">
        <f>SUM(J225:J247)</f>
        <v>875</v>
      </c>
      <c r="K248" s="312">
        <f>SUM(K225:K247)</f>
        <v>552</v>
      </c>
      <c r="L248" s="403"/>
      <c r="M248" s="404"/>
      <c r="N248" s="405"/>
      <c r="O248" s="31"/>
      <c r="P248" s="5"/>
      <c r="Q248" s="5"/>
      <c r="R248" s="5"/>
      <c r="AE248" s="207">
        <f>+J248-'[1]26.06. +спорт+днз№15'!J247</f>
        <v>0</v>
      </c>
    </row>
    <row r="249" spans="1:31" ht="61.5" customHeight="1" x14ac:dyDescent="0.45">
      <c r="A249" s="212"/>
      <c r="B249" s="406"/>
      <c r="C249" s="658" t="s">
        <v>497</v>
      </c>
      <c r="D249" s="659"/>
      <c r="E249" s="659"/>
      <c r="F249" s="659"/>
      <c r="G249" s="659"/>
      <c r="H249" s="659"/>
      <c r="I249" s="659"/>
      <c r="J249" s="659"/>
      <c r="K249" s="660"/>
      <c r="L249" s="407"/>
      <c r="M249" s="404"/>
      <c r="N249" s="405"/>
      <c r="O249" s="31"/>
      <c r="P249" s="5"/>
      <c r="Q249" s="5"/>
      <c r="R249" s="5"/>
      <c r="AE249" s="207">
        <f>+J249-'[1]26.06. +спорт+днз№15'!J248</f>
        <v>0</v>
      </c>
    </row>
    <row r="250" spans="1:31" ht="215.25" x14ac:dyDescent="0.45">
      <c r="A250" s="408" t="s">
        <v>498</v>
      </c>
      <c r="B250" s="661" t="s">
        <v>499</v>
      </c>
      <c r="C250" s="338" t="s">
        <v>500</v>
      </c>
      <c r="D250" s="24" t="s">
        <v>18</v>
      </c>
      <c r="E250" s="36" t="s">
        <v>19</v>
      </c>
      <c r="F250" s="216" t="s">
        <v>501</v>
      </c>
      <c r="G250" s="37">
        <f>1089.8+1271.2</f>
        <v>2361</v>
      </c>
      <c r="H250" s="409">
        <f>ROUND(G250*1.062,1)</f>
        <v>2507.4</v>
      </c>
      <c r="I250" s="409">
        <f>ROUND(H250*1.053,1)</f>
        <v>2640.3</v>
      </c>
      <c r="J250" s="409">
        <v>2772.3</v>
      </c>
      <c r="K250" s="409">
        <f>ROUND(J250*1.055,1)</f>
        <v>2924.8</v>
      </c>
      <c r="L250" s="410" t="s">
        <v>502</v>
      </c>
      <c r="M250" s="72">
        <v>1778.5</v>
      </c>
      <c r="N250" s="30">
        <f>+J250-M250</f>
        <v>993.80000000000018</v>
      </c>
      <c r="O250" s="31">
        <f>+J250-'[1]вересень (2)'!J228</f>
        <v>0</v>
      </c>
      <c r="P250" s="32"/>
      <c r="Q250" s="5">
        <f>+K250-'[1]вересень (2)'!K230</f>
        <v>2120.6000000000004</v>
      </c>
      <c r="R250" s="5"/>
      <c r="AE250" s="207">
        <f>+J250-'[1]26.06. +спорт+днз№15'!J249</f>
        <v>0</v>
      </c>
    </row>
    <row r="251" spans="1:31" ht="204" customHeight="1" x14ac:dyDescent="0.45">
      <c r="A251" s="212"/>
      <c r="B251" s="661"/>
      <c r="C251" s="338" t="s">
        <v>503</v>
      </c>
      <c r="D251" s="24" t="s">
        <v>18</v>
      </c>
      <c r="E251" s="36" t="s">
        <v>19</v>
      </c>
      <c r="F251" s="294" t="s">
        <v>26</v>
      </c>
      <c r="G251" s="409">
        <v>49.2</v>
      </c>
      <c r="H251" s="409">
        <f>62.5+52.5</f>
        <v>115</v>
      </c>
      <c r="I251" s="409">
        <f>55.1+33.9</f>
        <v>89</v>
      </c>
      <c r="J251" s="409">
        <v>89</v>
      </c>
      <c r="K251" s="409">
        <v>61.1</v>
      </c>
      <c r="L251" s="410" t="s">
        <v>504</v>
      </c>
      <c r="M251" s="72">
        <v>89</v>
      </c>
      <c r="N251" s="30">
        <f>+J251-M251</f>
        <v>0</v>
      </c>
      <c r="O251" s="31">
        <f>+J251-'[1]вересень (2)'!J229</f>
        <v>31.1</v>
      </c>
      <c r="P251" s="32"/>
      <c r="Q251" s="5">
        <f>+K251-'[1]вересень (2)'!K231</f>
        <v>-23.499999999999993</v>
      </c>
      <c r="R251" s="5"/>
      <c r="AE251" s="207">
        <f>+J251-'[1]26.06. +спорт+днз№15'!J250</f>
        <v>0</v>
      </c>
    </row>
    <row r="252" spans="1:31" ht="215.25" x14ac:dyDescent="0.45">
      <c r="A252" s="212"/>
      <c r="B252" s="661"/>
      <c r="C252" s="411" t="s">
        <v>505</v>
      </c>
      <c r="D252" s="24" t="s">
        <v>18</v>
      </c>
      <c r="E252" s="36" t="s">
        <v>19</v>
      </c>
      <c r="F252" s="294" t="s">
        <v>26</v>
      </c>
      <c r="G252" s="37">
        <v>649.20000000000005</v>
      </c>
      <c r="H252" s="409">
        <f>ROUND(G252*1.062,1)</f>
        <v>689.5</v>
      </c>
      <c r="I252" s="409">
        <f>ROUND(H252*1.053,1)</f>
        <v>726</v>
      </c>
      <c r="J252" s="409">
        <v>762.3</v>
      </c>
      <c r="K252" s="409">
        <f>ROUND(J252*1.055,1)</f>
        <v>804.2</v>
      </c>
      <c r="L252" s="410" t="s">
        <v>506</v>
      </c>
      <c r="M252" s="72">
        <f>620.2+120</f>
        <v>740.2</v>
      </c>
      <c r="N252" s="30">
        <f>+J252-M252</f>
        <v>22.099999999999909</v>
      </c>
      <c r="O252" s="31">
        <f>+J252-'[1]вересень (2)'!J230</f>
        <v>0</v>
      </c>
      <c r="P252" s="32"/>
      <c r="Q252" s="5">
        <f>+K252-'[1]вересень (2)'!K232</f>
        <v>771.90000000000009</v>
      </c>
      <c r="R252" s="5"/>
      <c r="AE252" s="207">
        <f>+J252-'[1]26.06. +спорт+днз№15'!J251</f>
        <v>0</v>
      </c>
    </row>
    <row r="253" spans="1:31" ht="182.25" customHeight="1" x14ac:dyDescent="0.45">
      <c r="A253" s="211"/>
      <c r="B253" s="661"/>
      <c r="C253" s="411" t="s">
        <v>507</v>
      </c>
      <c r="D253" s="132" t="s">
        <v>18</v>
      </c>
      <c r="E253" s="317" t="s">
        <v>19</v>
      </c>
      <c r="F253" s="65" t="s">
        <v>26</v>
      </c>
      <c r="G253" s="37">
        <v>68.400000000000006</v>
      </c>
      <c r="H253" s="409">
        <f>ROUND(G253*1.062,1)</f>
        <v>72.599999999999994</v>
      </c>
      <c r="I253" s="409">
        <f>ROUND(H253*1.053,1)</f>
        <v>76.400000000000006</v>
      </c>
      <c r="J253" s="409">
        <v>80.2</v>
      </c>
      <c r="K253" s="409">
        <f>ROUND(J253*1.055,1)</f>
        <v>84.6</v>
      </c>
      <c r="L253" s="288" t="s">
        <v>508</v>
      </c>
      <c r="M253" s="72">
        <v>64.900000000000006</v>
      </c>
      <c r="N253" s="30">
        <f>+J253-M253</f>
        <v>15.299999999999997</v>
      </c>
      <c r="O253" s="31">
        <f>+J253-'[1]вересень (2)'!J231</f>
        <v>0</v>
      </c>
      <c r="P253" s="32"/>
      <c r="Q253" s="5">
        <f>+K253-'[1]вересень (2)'!K233</f>
        <v>84.6</v>
      </c>
      <c r="R253" s="5"/>
      <c r="AE253" s="207">
        <f>+J253-'[1]26.06. +спорт+днз№15'!J252</f>
        <v>0</v>
      </c>
    </row>
    <row r="254" spans="1:31" ht="215.25" x14ac:dyDescent="0.45">
      <c r="A254" s="212"/>
      <c r="B254" s="238"/>
      <c r="C254" s="213" t="s">
        <v>509</v>
      </c>
      <c r="D254" s="239" t="s">
        <v>18</v>
      </c>
      <c r="E254" s="46" t="s">
        <v>19</v>
      </c>
      <c r="F254" s="49" t="s">
        <v>26</v>
      </c>
      <c r="G254" s="412">
        <v>26</v>
      </c>
      <c r="H254" s="413">
        <f>ROUND(G254*1.062,1)</f>
        <v>27.6</v>
      </c>
      <c r="I254" s="413">
        <f>ROUND(H254*1.053,1)+29.3</f>
        <v>58.400000000000006</v>
      </c>
      <c r="J254" s="413">
        <v>30.6</v>
      </c>
      <c r="K254" s="413">
        <f>ROUND(J254*1.055,1)</f>
        <v>32.299999999999997</v>
      </c>
      <c r="L254" s="234" t="s">
        <v>510</v>
      </c>
      <c r="M254" s="72">
        <v>16.2</v>
      </c>
      <c r="N254" s="30">
        <f>+J254-M254</f>
        <v>14.400000000000002</v>
      </c>
      <c r="O254" s="31">
        <f>+J254-'[1]вересень (2)'!J232</f>
        <v>0</v>
      </c>
      <c r="P254" s="32"/>
      <c r="Q254" s="5">
        <f>+K254-'[1]вересень (2)'!K234</f>
        <v>-3874.7000000000003</v>
      </c>
      <c r="R254" s="5"/>
      <c r="AE254" s="207">
        <f>+J254-'[1]26.06. +спорт+днз№15'!J253</f>
        <v>0</v>
      </c>
    </row>
    <row r="255" spans="1:31" ht="147" customHeight="1" x14ac:dyDescent="0.45">
      <c r="A255" s="212"/>
      <c r="B255" s="59"/>
      <c r="C255" s="49" t="s">
        <v>511</v>
      </c>
      <c r="D255" s="46" t="s">
        <v>11</v>
      </c>
      <c r="E255" s="239" t="s">
        <v>19</v>
      </c>
      <c r="F255" s="140" t="s">
        <v>26</v>
      </c>
      <c r="G255" s="37">
        <v>0</v>
      </c>
      <c r="H255" s="409">
        <v>105</v>
      </c>
      <c r="I255" s="409">
        <v>0</v>
      </c>
      <c r="J255" s="409">
        <v>0</v>
      </c>
      <c r="K255" s="409">
        <v>0</v>
      </c>
      <c r="L255" s="52" t="s">
        <v>512</v>
      </c>
      <c r="M255" s="72"/>
      <c r="N255" s="30"/>
      <c r="O255" s="31">
        <f>+J255-'[1]вересень (2)'!J233</f>
        <v>0</v>
      </c>
      <c r="P255" s="5"/>
      <c r="Q255" s="5">
        <f>+K255-'[1]вересень (2)'!K235</f>
        <v>0</v>
      </c>
      <c r="R255" s="5"/>
      <c r="AE255" s="207">
        <f>+J255-'[1]26.06. +спорт+днз№15'!J254</f>
        <v>0</v>
      </c>
    </row>
    <row r="256" spans="1:31" ht="40.5" customHeight="1" x14ac:dyDescent="0.45">
      <c r="A256" s="300"/>
      <c r="B256" s="48"/>
      <c r="C256" s="414" t="s">
        <v>63</v>
      </c>
      <c r="D256" s="174"/>
      <c r="E256" s="174"/>
      <c r="F256" s="49"/>
      <c r="G256" s="415">
        <f>SUM(G250:G255)</f>
        <v>3153.7999999999997</v>
      </c>
      <c r="H256" s="415">
        <f>SUM(H250:H255)</f>
        <v>3517.1</v>
      </c>
      <c r="I256" s="416">
        <f>SUM(I250:I255)</f>
        <v>3590.1000000000004</v>
      </c>
      <c r="J256" s="416">
        <f>SUM(J250:J255)</f>
        <v>3734.4</v>
      </c>
      <c r="K256" s="416">
        <f>SUM(K250:K255)</f>
        <v>3907.0000000000005</v>
      </c>
      <c r="L256" s="417"/>
      <c r="M256" s="404"/>
      <c r="N256" s="106"/>
      <c r="O256" s="31"/>
      <c r="P256" s="5"/>
      <c r="Q256" s="5">
        <f>+K256-'[1]вересень (2)'!K236</f>
        <v>-392.99999999999955</v>
      </c>
      <c r="R256" s="5"/>
      <c r="AE256" s="207">
        <f>+J256-'[1]26.06. +спорт+днз№15'!J255</f>
        <v>0</v>
      </c>
    </row>
    <row r="257" spans="1:31" ht="45" customHeight="1" x14ac:dyDescent="0.45">
      <c r="A257" s="212"/>
      <c r="B257" s="418"/>
      <c r="C257" s="609" t="s">
        <v>513</v>
      </c>
      <c r="D257" s="609"/>
      <c r="E257" s="609"/>
      <c r="F257" s="609"/>
      <c r="G257" s="609"/>
      <c r="H257" s="609"/>
      <c r="I257" s="609"/>
      <c r="J257" s="609"/>
      <c r="K257" s="609"/>
      <c r="L257" s="419"/>
      <c r="M257" s="314"/>
      <c r="N257" s="420"/>
      <c r="O257" s="31">
        <f>+J257-'[1]вересень (2)'!J235</f>
        <v>0</v>
      </c>
      <c r="P257" s="5"/>
      <c r="Q257" s="5">
        <f>+K257-'[1]вересень (2)'!K237</f>
        <v>-1750</v>
      </c>
      <c r="R257" s="5"/>
      <c r="AE257" s="207">
        <f>+J257-'[1]26.06. +спорт+днз№15'!J256</f>
        <v>0</v>
      </c>
    </row>
    <row r="258" spans="1:31" ht="211.5" customHeight="1" x14ac:dyDescent="0.45">
      <c r="A258" s="646">
        <v>12</v>
      </c>
      <c r="B258" s="421" t="s">
        <v>514</v>
      </c>
      <c r="C258" s="422" t="s">
        <v>515</v>
      </c>
      <c r="D258" s="132" t="s">
        <v>18</v>
      </c>
      <c r="E258" s="132" t="s">
        <v>19</v>
      </c>
      <c r="F258" s="65" t="s">
        <v>26</v>
      </c>
      <c r="G258" s="423">
        <f>SUM(G259:G262)</f>
        <v>16150</v>
      </c>
      <c r="H258" s="423">
        <f>SUM(H259:H262)</f>
        <v>6110</v>
      </c>
      <c r="I258" s="423">
        <f>SUM(I259:I262)</f>
        <v>8530</v>
      </c>
      <c r="J258" s="423">
        <f>SUM(J259:J262)</f>
        <v>7324.3</v>
      </c>
      <c r="K258" s="423">
        <f>SUM(K259:K262)</f>
        <v>4300</v>
      </c>
      <c r="L258" s="288" t="s">
        <v>516</v>
      </c>
      <c r="M258" s="72"/>
      <c r="N258" s="30"/>
      <c r="O258" s="31">
        <f>+J258-'[1]вересень (2)'!J236</f>
        <v>2274.3000000000002</v>
      </c>
      <c r="P258" s="32"/>
      <c r="Q258" s="5">
        <f>+K258-'[1]вересень (2)'!K238</f>
        <v>2250</v>
      </c>
      <c r="R258" s="5"/>
      <c r="AE258" s="207">
        <f>+J258-'[1]26.06. +спорт+днз№15'!J257</f>
        <v>0</v>
      </c>
    </row>
    <row r="259" spans="1:31" ht="92.25" customHeight="1" x14ac:dyDescent="0.45">
      <c r="A259" s="647"/>
      <c r="B259" s="424"/>
      <c r="C259" s="230" t="s">
        <v>517</v>
      </c>
      <c r="D259" s="60" t="s">
        <v>18</v>
      </c>
      <c r="E259" s="60" t="s">
        <v>19</v>
      </c>
      <c r="F259" s="213" t="s">
        <v>518</v>
      </c>
      <c r="G259" s="170">
        <v>11356</v>
      </c>
      <c r="H259" s="170">
        <v>2910</v>
      </c>
      <c r="I259" s="170">
        <f>2980+1500</f>
        <v>4480</v>
      </c>
      <c r="J259" s="170">
        <v>2853.7</v>
      </c>
      <c r="K259" s="170">
        <v>1750</v>
      </c>
      <c r="L259" s="61"/>
      <c r="M259" s="30">
        <v>12585.6</v>
      </c>
      <c r="N259" s="30"/>
      <c r="O259" s="31"/>
      <c r="P259" s="32"/>
      <c r="Q259" s="5">
        <f>+K259-'[1]вересень (2)'!K239</f>
        <v>1750</v>
      </c>
      <c r="R259" s="5"/>
      <c r="AE259" s="207">
        <f>+J259-'[1]26.06. +спорт+днз№15'!J258</f>
        <v>0</v>
      </c>
    </row>
    <row r="260" spans="1:31" ht="90" customHeight="1" x14ac:dyDescent="0.45">
      <c r="A260" s="212"/>
      <c r="B260" s="425"/>
      <c r="C260" s="74" t="s">
        <v>519</v>
      </c>
      <c r="D260" s="46" t="s">
        <v>18</v>
      </c>
      <c r="E260" s="139" t="s">
        <v>19</v>
      </c>
      <c r="F260" s="213" t="s">
        <v>518</v>
      </c>
      <c r="G260" s="426">
        <v>4339.8999999999996</v>
      </c>
      <c r="H260" s="426">
        <v>3000</v>
      </c>
      <c r="I260" s="426">
        <f>3400+500</f>
        <v>3900</v>
      </c>
      <c r="J260" s="426">
        <v>4370.6000000000004</v>
      </c>
      <c r="K260" s="426">
        <v>2050</v>
      </c>
      <c r="L260" s="234"/>
      <c r="M260" s="30">
        <v>15128.5</v>
      </c>
      <c r="N260" s="30"/>
      <c r="O260" s="31"/>
      <c r="P260" s="32"/>
      <c r="Q260" s="5">
        <f>+K260-'[1]вересень (2)'!K240</f>
        <v>1550</v>
      </c>
      <c r="R260" s="5"/>
      <c r="AE260" s="207">
        <f>+J260-'[1]26.06. +спорт+днз№15'!J259</f>
        <v>0</v>
      </c>
    </row>
    <row r="261" spans="1:31" ht="96" customHeight="1" x14ac:dyDescent="0.45">
      <c r="A261" s="212"/>
      <c r="B261" s="48"/>
      <c r="C261" s="338" t="s">
        <v>520</v>
      </c>
      <c r="D261" s="46" t="s">
        <v>18</v>
      </c>
      <c r="E261" s="24" t="s">
        <v>19</v>
      </c>
      <c r="F261" s="213" t="s">
        <v>518</v>
      </c>
      <c r="G261" s="27">
        <v>304.10000000000002</v>
      </c>
      <c r="H261" s="27">
        <v>200</v>
      </c>
      <c r="I261" s="27">
        <v>150</v>
      </c>
      <c r="J261" s="27">
        <v>100</v>
      </c>
      <c r="K261" s="27">
        <v>0</v>
      </c>
      <c r="L261" s="410"/>
      <c r="M261" s="72"/>
      <c r="N261" s="30"/>
      <c r="O261" s="31">
        <f>+J261-'[1]вересень (2)'!J239</f>
        <v>0</v>
      </c>
      <c r="P261" s="32"/>
      <c r="Q261" s="5">
        <f>+K261-'[1]вересень (2)'!K241</f>
        <v>0</v>
      </c>
      <c r="R261" s="5"/>
      <c r="AE261" s="207">
        <f>+J261-'[1]26.06. +спорт+днз№15'!J260</f>
        <v>0</v>
      </c>
    </row>
    <row r="262" spans="1:31" ht="90" customHeight="1" x14ac:dyDescent="0.45">
      <c r="A262" s="212"/>
      <c r="B262" s="48"/>
      <c r="C262" s="338" t="s">
        <v>521</v>
      </c>
      <c r="D262" s="46" t="s">
        <v>18</v>
      </c>
      <c r="E262" s="24" t="s">
        <v>19</v>
      </c>
      <c r="F262" s="294" t="s">
        <v>26</v>
      </c>
      <c r="G262" s="27">
        <v>150</v>
      </c>
      <c r="H262" s="27">
        <v>0</v>
      </c>
      <c r="I262" s="27">
        <v>0</v>
      </c>
      <c r="J262" s="27">
        <v>0</v>
      </c>
      <c r="K262" s="27">
        <v>500</v>
      </c>
      <c r="L262" s="410"/>
      <c r="M262" s="72"/>
      <c r="N262" s="30"/>
      <c r="O262" s="31">
        <f>+J262-'[1]вересень (2)'!J240</f>
        <v>0</v>
      </c>
      <c r="P262" s="5"/>
      <c r="Q262" s="5">
        <f>+K262-'[1]вересень (2)'!K242</f>
        <v>500</v>
      </c>
      <c r="R262" s="5"/>
      <c r="AE262" s="207">
        <f>+J262-'[1]26.06. +спорт+днз№15'!J261</f>
        <v>0</v>
      </c>
    </row>
    <row r="263" spans="1:31" ht="91.5" customHeight="1" x14ac:dyDescent="0.45">
      <c r="A263" s="212"/>
      <c r="B263" s="48"/>
      <c r="C263" s="427" t="s">
        <v>522</v>
      </c>
      <c r="D263" s="46" t="s">
        <v>18</v>
      </c>
      <c r="E263" s="24" t="s">
        <v>19</v>
      </c>
      <c r="F263" s="294" t="s">
        <v>26</v>
      </c>
      <c r="G263" s="428">
        <f>G265+G264</f>
        <v>400</v>
      </c>
      <c r="H263" s="428">
        <f>H265+H264</f>
        <v>400</v>
      </c>
      <c r="I263" s="428">
        <f>I265+I264</f>
        <v>200</v>
      </c>
      <c r="J263" s="428">
        <f>J265+J264</f>
        <v>1375.5</v>
      </c>
      <c r="K263" s="428">
        <f>K265+K264</f>
        <v>0</v>
      </c>
      <c r="L263" s="410" t="s">
        <v>516</v>
      </c>
      <c r="M263" s="72"/>
      <c r="N263" s="30"/>
      <c r="O263" s="31">
        <f>+J263-'[1]вересень (2)'!J241</f>
        <v>1375.5</v>
      </c>
      <c r="P263" s="5"/>
      <c r="Q263" s="5">
        <f>+K263-'[1]вересень (2)'!K243</f>
        <v>0</v>
      </c>
      <c r="R263" s="5"/>
      <c r="AE263" s="207">
        <f>+J263-'[1]26.06. +спорт+днз№15'!J262</f>
        <v>0</v>
      </c>
    </row>
    <row r="264" spans="1:31" ht="90" customHeight="1" x14ac:dyDescent="0.45">
      <c r="A264" s="212"/>
      <c r="B264" s="48"/>
      <c r="C264" s="338" t="s">
        <v>523</v>
      </c>
      <c r="D264" s="46" t="s">
        <v>18</v>
      </c>
      <c r="E264" s="24" t="s">
        <v>19</v>
      </c>
      <c r="F264" s="294" t="s">
        <v>26</v>
      </c>
      <c r="G264" s="27">
        <v>200</v>
      </c>
      <c r="H264" s="27">
        <v>200</v>
      </c>
      <c r="I264" s="27">
        <v>100</v>
      </c>
      <c r="J264" s="27">
        <v>173.5</v>
      </c>
      <c r="K264" s="27">
        <v>0</v>
      </c>
      <c r="L264" s="410"/>
      <c r="M264" s="30">
        <v>173.5</v>
      </c>
      <c r="N264" s="30"/>
      <c r="O264" s="31"/>
      <c r="P264" s="32"/>
      <c r="Q264" s="5">
        <f>+K264-'[1]вересень (2)'!K244</f>
        <v>-1000</v>
      </c>
      <c r="R264" s="5"/>
      <c r="AE264" s="207">
        <f>+J264-'[1]26.06. +спорт+днз№15'!J263</f>
        <v>0</v>
      </c>
    </row>
    <row r="265" spans="1:31" ht="92.25" customHeight="1" x14ac:dyDescent="0.45">
      <c r="A265" s="212"/>
      <c r="B265" s="48"/>
      <c r="C265" s="411" t="s">
        <v>519</v>
      </c>
      <c r="D265" s="46" t="s">
        <v>18</v>
      </c>
      <c r="E265" s="24" t="s">
        <v>19</v>
      </c>
      <c r="F265" s="294" t="s">
        <v>26</v>
      </c>
      <c r="G265" s="27">
        <v>200</v>
      </c>
      <c r="H265" s="27">
        <v>200</v>
      </c>
      <c r="I265" s="27">
        <v>100</v>
      </c>
      <c r="J265" s="27">
        <v>1202</v>
      </c>
      <c r="K265" s="27">
        <v>0</v>
      </c>
      <c r="L265" s="410"/>
      <c r="M265" s="30">
        <v>1202</v>
      </c>
      <c r="N265" s="30"/>
      <c r="O265" s="31"/>
      <c r="P265" s="32"/>
      <c r="Q265" s="5">
        <f>+K265-'[1]вересень (2)'!K245</f>
        <v>-500</v>
      </c>
      <c r="R265" s="5"/>
      <c r="AE265" s="207">
        <f>+J265-'[1]26.06. +спорт+днз№15'!J264</f>
        <v>0</v>
      </c>
    </row>
    <row r="266" spans="1:31" ht="120.75" customHeight="1" x14ac:dyDescent="0.45">
      <c r="A266" s="211"/>
      <c r="B266" s="48"/>
      <c r="C266" s="429" t="s">
        <v>524</v>
      </c>
      <c r="D266" s="46" t="s">
        <v>18</v>
      </c>
      <c r="E266" s="132" t="s">
        <v>19</v>
      </c>
      <c r="F266" s="65" t="s">
        <v>26</v>
      </c>
      <c r="G266" s="382">
        <f>G267+G268</f>
        <v>550</v>
      </c>
      <c r="H266" s="382">
        <f>H267+H268</f>
        <v>1163</v>
      </c>
      <c r="I266" s="382">
        <f>I267+I268</f>
        <v>750</v>
      </c>
      <c r="J266" s="382">
        <f>J267+J268+J269</f>
        <v>2589.8000000000002</v>
      </c>
      <c r="K266" s="382">
        <f>K267+K268</f>
        <v>1000</v>
      </c>
      <c r="L266" s="288" t="s">
        <v>516</v>
      </c>
      <c r="M266" s="72"/>
      <c r="N266" s="30"/>
      <c r="O266" s="31">
        <f>+J266-'[1]вересень (2)'!J244</f>
        <v>1839.8000000000002</v>
      </c>
      <c r="P266" s="5"/>
      <c r="Q266" s="5">
        <f>+K266-'[1]вересень (2)'!K246</f>
        <v>500</v>
      </c>
      <c r="R266" s="5"/>
      <c r="AE266" s="207">
        <f>+J266-'[1]26.06. +спорт+днз№15'!J265</f>
        <v>0</v>
      </c>
    </row>
    <row r="267" spans="1:31" ht="97.5" customHeight="1" x14ac:dyDescent="0.45">
      <c r="A267" s="211"/>
      <c r="B267" s="59"/>
      <c r="C267" s="230" t="s">
        <v>523</v>
      </c>
      <c r="D267" s="60" t="s">
        <v>18</v>
      </c>
      <c r="E267" s="67" t="s">
        <v>19</v>
      </c>
      <c r="F267" s="65" t="s">
        <v>26</v>
      </c>
      <c r="G267" s="170">
        <v>300</v>
      </c>
      <c r="H267" s="170">
        <v>350</v>
      </c>
      <c r="I267" s="170">
        <v>400</v>
      </c>
      <c r="J267" s="170">
        <v>1022.9</v>
      </c>
      <c r="K267" s="170">
        <v>500</v>
      </c>
      <c r="L267" s="171"/>
      <c r="M267" s="30">
        <v>1022.9</v>
      </c>
      <c r="N267" s="30"/>
      <c r="O267" s="31"/>
      <c r="P267" s="32"/>
      <c r="Q267" s="5">
        <f>+K267-'[1]вересень (2)'!K247</f>
        <v>460</v>
      </c>
      <c r="R267" s="5"/>
      <c r="AE267" s="207">
        <f>+J267-'[1]26.06. +спорт+днз№15'!J266</f>
        <v>0</v>
      </c>
    </row>
    <row r="268" spans="1:31" ht="105" customHeight="1" x14ac:dyDescent="0.45">
      <c r="A268" s="264"/>
      <c r="B268" s="59"/>
      <c r="C268" s="156" t="s">
        <v>519</v>
      </c>
      <c r="D268" s="60" t="s">
        <v>18</v>
      </c>
      <c r="E268" s="67" t="s">
        <v>19</v>
      </c>
      <c r="F268" s="65" t="s">
        <v>26</v>
      </c>
      <c r="G268" s="170">
        <v>250</v>
      </c>
      <c r="H268" s="170">
        <v>813</v>
      </c>
      <c r="I268" s="170">
        <v>350</v>
      </c>
      <c r="J268" s="170">
        <v>1396.9</v>
      </c>
      <c r="K268" s="170">
        <v>500</v>
      </c>
      <c r="L268" s="171"/>
      <c r="M268" s="30">
        <v>1396.9</v>
      </c>
      <c r="N268" s="30"/>
      <c r="O268" s="31"/>
      <c r="P268" s="32"/>
      <c r="Q268" s="5">
        <f>+K268-'[1]вересень (2)'!K248</f>
        <v>480</v>
      </c>
      <c r="R268" s="5"/>
      <c r="AE268" s="207">
        <f>+J268-'[1]26.06. +спорт+днз№15'!J267</f>
        <v>0</v>
      </c>
    </row>
    <row r="269" spans="1:31" ht="105" customHeight="1" x14ac:dyDescent="0.45">
      <c r="A269" s="212"/>
      <c r="B269" s="59"/>
      <c r="C269" s="49" t="s">
        <v>525</v>
      </c>
      <c r="D269" s="60" t="s">
        <v>18</v>
      </c>
      <c r="E269" s="67" t="s">
        <v>19</v>
      </c>
      <c r="F269" s="65" t="s">
        <v>26</v>
      </c>
      <c r="G269" s="38">
        <v>0</v>
      </c>
      <c r="H269" s="38">
        <v>0</v>
      </c>
      <c r="I269" s="38">
        <v>0</v>
      </c>
      <c r="J269" s="38">
        <v>170</v>
      </c>
      <c r="K269" s="38">
        <v>0</v>
      </c>
      <c r="L269" s="40"/>
      <c r="M269" s="30"/>
      <c r="N269" s="30"/>
      <c r="O269" s="31"/>
      <c r="P269" s="32"/>
      <c r="Q269" s="5"/>
      <c r="R269" s="5"/>
      <c r="AE269" s="207">
        <f>+J269-'[1]26.06. +спорт+днз№15'!J268</f>
        <v>0</v>
      </c>
    </row>
    <row r="270" spans="1:31" ht="123.75" customHeight="1" x14ac:dyDescent="0.45">
      <c r="A270" s="212"/>
      <c r="B270" s="48"/>
      <c r="C270" s="430" t="s">
        <v>526</v>
      </c>
      <c r="D270" s="60" t="s">
        <v>18</v>
      </c>
      <c r="E270" s="139" t="s">
        <v>19</v>
      </c>
      <c r="F270" s="294" t="s">
        <v>26</v>
      </c>
      <c r="G270" s="431">
        <f>G271+G272+G273</f>
        <v>70</v>
      </c>
      <c r="H270" s="431">
        <f>H271+H272+H273</f>
        <v>876</v>
      </c>
      <c r="I270" s="431">
        <f>I271+I272+I273</f>
        <v>55</v>
      </c>
      <c r="J270" s="431">
        <f>J271+J272+J273</f>
        <v>1036</v>
      </c>
      <c r="K270" s="431">
        <f>K271+K272+K273</f>
        <v>40</v>
      </c>
      <c r="L270" s="234" t="s">
        <v>516</v>
      </c>
      <c r="M270" s="72"/>
      <c r="N270" s="30"/>
      <c r="O270" s="31">
        <f>+J270-'[1]вересень (2)'!J247</f>
        <v>986</v>
      </c>
      <c r="P270" s="5"/>
      <c r="Q270" s="5">
        <f>+K270-'[1]вересень (2)'!K249</f>
        <v>20</v>
      </c>
      <c r="R270" s="5"/>
      <c r="AE270" s="207">
        <f>+J270-'[1]26.06. +спорт+днз№15'!J269</f>
        <v>0</v>
      </c>
    </row>
    <row r="271" spans="1:31" ht="128.25" customHeight="1" x14ac:dyDescent="0.45">
      <c r="A271" s="212"/>
      <c r="B271" s="48"/>
      <c r="C271" s="338" t="s">
        <v>523</v>
      </c>
      <c r="D271" s="46" t="s">
        <v>18</v>
      </c>
      <c r="E271" s="24" t="s">
        <v>19</v>
      </c>
      <c r="F271" s="294" t="s">
        <v>26</v>
      </c>
      <c r="G271" s="38">
        <v>20</v>
      </c>
      <c r="H271" s="38">
        <v>626</v>
      </c>
      <c r="I271" s="38">
        <v>20</v>
      </c>
      <c r="J271" s="38">
        <v>297</v>
      </c>
      <c r="K271" s="38">
        <v>20</v>
      </c>
      <c r="L271" s="40"/>
      <c r="M271" s="30">
        <v>297</v>
      </c>
      <c r="N271" s="30"/>
      <c r="O271" s="31"/>
      <c r="P271" s="32"/>
      <c r="Q271" s="5">
        <f>+K271-'[1]вересень (2)'!K250</f>
        <v>20</v>
      </c>
      <c r="R271" s="5"/>
      <c r="AE271" s="207">
        <f>+J271-'[1]26.06. +спорт+днз№15'!J270</f>
        <v>0</v>
      </c>
    </row>
    <row r="272" spans="1:31" ht="135" customHeight="1" x14ac:dyDescent="0.45">
      <c r="A272" s="264"/>
      <c r="B272" s="48"/>
      <c r="C272" s="186" t="s">
        <v>519</v>
      </c>
      <c r="D272" s="46" t="s">
        <v>18</v>
      </c>
      <c r="E272" s="132" t="s">
        <v>19</v>
      </c>
      <c r="F272" s="65" t="s">
        <v>26</v>
      </c>
      <c r="G272" s="432">
        <v>40</v>
      </c>
      <c r="H272" s="432">
        <v>245</v>
      </c>
      <c r="I272" s="432">
        <v>35</v>
      </c>
      <c r="J272" s="432">
        <v>709</v>
      </c>
      <c r="K272" s="432">
        <v>20</v>
      </c>
      <c r="L272" s="181"/>
      <c r="M272" s="30">
        <v>709</v>
      </c>
      <c r="N272" s="30"/>
      <c r="O272" s="31"/>
      <c r="P272" s="32"/>
      <c r="Q272" s="5">
        <f>+K272-'[1]вересень (2)'!K251</f>
        <v>20</v>
      </c>
      <c r="R272" s="5"/>
      <c r="AE272" s="207">
        <f>+J272-'[1]26.06. +спорт+днз№15'!J271</f>
        <v>0</v>
      </c>
    </row>
    <row r="273" spans="1:31" ht="85.5" customHeight="1" x14ac:dyDescent="0.45">
      <c r="A273" s="212"/>
      <c r="B273" s="59"/>
      <c r="C273" s="74" t="s">
        <v>527</v>
      </c>
      <c r="D273" s="60" t="s">
        <v>18</v>
      </c>
      <c r="E273" s="139" t="s">
        <v>19</v>
      </c>
      <c r="F273" s="294" t="s">
        <v>26</v>
      </c>
      <c r="G273" s="433">
        <v>10</v>
      </c>
      <c r="H273" s="433">
        <v>5</v>
      </c>
      <c r="I273" s="433">
        <v>0</v>
      </c>
      <c r="J273" s="433">
        <v>30</v>
      </c>
      <c r="K273" s="433">
        <v>0</v>
      </c>
      <c r="L273" s="71"/>
      <c r="M273" s="30">
        <v>30</v>
      </c>
      <c r="N273" s="30"/>
      <c r="O273" s="31"/>
      <c r="P273" s="5"/>
      <c r="Q273" s="5">
        <f>+K273-'[1]вересень (2)'!K252</f>
        <v>0</v>
      </c>
      <c r="R273" s="5"/>
      <c r="AE273" s="207">
        <f>+J273-'[1]26.06. +спорт+днз№15'!J272</f>
        <v>0</v>
      </c>
    </row>
    <row r="274" spans="1:31" ht="102.75" customHeight="1" x14ac:dyDescent="0.45">
      <c r="A274" s="212"/>
      <c r="B274" s="114"/>
      <c r="C274" s="434" t="s">
        <v>528</v>
      </c>
      <c r="D274" s="46" t="s">
        <v>18</v>
      </c>
      <c r="E274" s="24" t="s">
        <v>19</v>
      </c>
      <c r="F274" s="294" t="s">
        <v>26</v>
      </c>
      <c r="G274" s="435">
        <f>G275+G276+G277</f>
        <v>1215</v>
      </c>
      <c r="H274" s="435">
        <f>H275+H276+H277</f>
        <v>827.5</v>
      </c>
      <c r="I274" s="435">
        <f>I275+I276+I277</f>
        <v>610</v>
      </c>
      <c r="J274" s="435">
        <f>J275+J276+J277</f>
        <v>438.9</v>
      </c>
      <c r="K274" s="435">
        <f>K275+K276+K277</f>
        <v>0</v>
      </c>
      <c r="L274" s="163" t="s">
        <v>229</v>
      </c>
      <c r="M274" s="164"/>
      <c r="N274" s="405"/>
      <c r="O274" s="31">
        <f>+J274-'[1]вересень (2)'!J251</f>
        <v>438.9</v>
      </c>
      <c r="P274" s="5"/>
      <c r="Q274" s="5">
        <f>+K274-'[1]вересень (2)'!K253</f>
        <v>0</v>
      </c>
      <c r="R274" s="5"/>
      <c r="AE274" s="207">
        <f>+J274-'[1]26.06. +спорт+днз№15'!J273</f>
        <v>0</v>
      </c>
    </row>
    <row r="275" spans="1:31" ht="92.25" x14ac:dyDescent="0.45">
      <c r="A275" s="212"/>
      <c r="B275" s="114"/>
      <c r="C275" s="338" t="s">
        <v>523</v>
      </c>
      <c r="D275" s="46" t="s">
        <v>18</v>
      </c>
      <c r="E275" s="24" t="s">
        <v>19</v>
      </c>
      <c r="F275" s="294" t="s">
        <v>26</v>
      </c>
      <c r="G275" s="351">
        <v>470</v>
      </c>
      <c r="H275" s="351">
        <v>235</v>
      </c>
      <c r="I275" s="351">
        <v>235</v>
      </c>
      <c r="J275" s="351">
        <v>59.5</v>
      </c>
      <c r="K275" s="351">
        <v>0</v>
      </c>
      <c r="L275" s="352"/>
      <c r="M275" s="30">
        <f>45.5+14</f>
        <v>59.5</v>
      </c>
      <c r="N275" s="30"/>
      <c r="O275" s="31"/>
      <c r="P275" s="32"/>
      <c r="Q275" s="5">
        <f>+K275-'[1]вересень (2)'!K254</f>
        <v>0</v>
      </c>
      <c r="R275" s="5"/>
      <c r="AE275" s="207">
        <f>+J275-'[1]26.06. +спорт+днз№15'!J274</f>
        <v>0</v>
      </c>
    </row>
    <row r="276" spans="1:31" ht="74.25" customHeight="1" x14ac:dyDescent="0.45">
      <c r="A276" s="212"/>
      <c r="B276" s="114"/>
      <c r="C276" s="338" t="s">
        <v>519</v>
      </c>
      <c r="D276" s="46" t="s">
        <v>18</v>
      </c>
      <c r="E276" s="24" t="s">
        <v>19</v>
      </c>
      <c r="F276" s="140" t="s">
        <v>26</v>
      </c>
      <c r="G276" s="26">
        <v>680</v>
      </c>
      <c r="H276" s="26">
        <v>557.5</v>
      </c>
      <c r="I276" s="26">
        <v>340</v>
      </c>
      <c r="J276" s="26">
        <v>371.4</v>
      </c>
      <c r="K276" s="26">
        <v>0</v>
      </c>
      <c r="L276" s="410"/>
      <c r="M276" s="30">
        <f>106+265.4</f>
        <v>371.4</v>
      </c>
      <c r="N276" s="30"/>
      <c r="O276" s="31"/>
      <c r="P276" s="5"/>
      <c r="Q276" s="5">
        <f>+K276-'[1]вересень (2)'!K255</f>
        <v>0</v>
      </c>
      <c r="R276" s="5"/>
      <c r="AE276" s="207">
        <f>+J276-'[1]26.06. +спорт+днз№15'!J275</f>
        <v>0</v>
      </c>
    </row>
    <row r="277" spans="1:31" ht="63" customHeight="1" x14ac:dyDescent="0.45">
      <c r="A277" s="212"/>
      <c r="B277" s="114"/>
      <c r="C277" s="411" t="s">
        <v>527</v>
      </c>
      <c r="D277" s="46" t="s">
        <v>18</v>
      </c>
      <c r="E277" s="132" t="s">
        <v>19</v>
      </c>
      <c r="F277" s="153" t="s">
        <v>26</v>
      </c>
      <c r="G277" s="154">
        <v>65</v>
      </c>
      <c r="H277" s="154">
        <v>35</v>
      </c>
      <c r="I277" s="154">
        <v>35</v>
      </c>
      <c r="J277" s="154">
        <v>8</v>
      </c>
      <c r="K277" s="154">
        <v>0</v>
      </c>
      <c r="L277" s="288"/>
      <c r="M277" s="30">
        <f>4+4</f>
        <v>8</v>
      </c>
      <c r="N277" s="30"/>
      <c r="O277" s="31"/>
      <c r="P277" s="32"/>
      <c r="Q277" s="5">
        <f>+K277-'[1]вересень (2)'!K256</f>
        <v>0</v>
      </c>
      <c r="R277" s="5"/>
      <c r="AE277" s="207">
        <f>+J277-'[1]26.06. +спорт+днз№15'!J276</f>
        <v>0</v>
      </c>
    </row>
    <row r="278" spans="1:31" ht="125.25" customHeight="1" x14ac:dyDescent="0.45">
      <c r="A278" s="212"/>
      <c r="B278" s="114"/>
      <c r="C278" s="436" t="s">
        <v>529</v>
      </c>
      <c r="D278" s="46" t="s">
        <v>18</v>
      </c>
      <c r="E278" s="60" t="s">
        <v>19</v>
      </c>
      <c r="F278" s="213" t="s">
        <v>26</v>
      </c>
      <c r="G278" s="437">
        <f>G279+G280+G281</f>
        <v>4798</v>
      </c>
      <c r="H278" s="437">
        <f>H279+H280+H281</f>
        <v>2957.8</v>
      </c>
      <c r="I278" s="437">
        <f>I279+I280+I281</f>
        <v>2399</v>
      </c>
      <c r="J278" s="437">
        <f>J279+J280+J281</f>
        <v>1168.4000000000001</v>
      </c>
      <c r="K278" s="437">
        <f>K279+K280+K281</f>
        <v>0</v>
      </c>
      <c r="L278" s="61" t="s">
        <v>516</v>
      </c>
      <c r="M278" s="72"/>
      <c r="N278" s="30"/>
      <c r="O278" s="31">
        <f>+J278-'[1]вересень (2)'!J255</f>
        <v>1168.4000000000001</v>
      </c>
      <c r="P278" s="5"/>
      <c r="Q278" s="5">
        <f>+K278-'[1]вересень (2)'!K257</f>
        <v>0</v>
      </c>
      <c r="R278" s="5"/>
      <c r="AE278" s="207">
        <f>+J278-'[1]26.06. +спорт+днз№15'!J277</f>
        <v>0</v>
      </c>
    </row>
    <row r="279" spans="1:31" ht="99" customHeight="1" x14ac:dyDescent="0.45">
      <c r="A279" s="212"/>
      <c r="B279" s="114"/>
      <c r="C279" s="411" t="s">
        <v>523</v>
      </c>
      <c r="D279" s="46" t="s">
        <v>18</v>
      </c>
      <c r="E279" s="139" t="s">
        <v>19</v>
      </c>
      <c r="F279" s="294" t="s">
        <v>26</v>
      </c>
      <c r="G279" s="160">
        <v>2330</v>
      </c>
      <c r="H279" s="160">
        <v>1165</v>
      </c>
      <c r="I279" s="433">
        <v>1165</v>
      </c>
      <c r="J279" s="39">
        <f>146+225</f>
        <v>371</v>
      </c>
      <c r="K279" s="151">
        <v>0</v>
      </c>
      <c r="L279" s="71"/>
      <c r="M279" s="30">
        <f>146+225</f>
        <v>371</v>
      </c>
      <c r="N279" s="30"/>
      <c r="O279" s="31"/>
      <c r="P279" s="5"/>
      <c r="Q279" s="5">
        <f>+K279-'[1]вересень (2)'!K258</f>
        <v>0</v>
      </c>
      <c r="R279" s="5"/>
      <c r="AE279" s="207">
        <f>+J279-'[1]26.06. +спорт+днз№15'!J278</f>
        <v>0</v>
      </c>
    </row>
    <row r="280" spans="1:31" ht="101.25" customHeight="1" x14ac:dyDescent="0.45">
      <c r="A280" s="211"/>
      <c r="B280" s="114"/>
      <c r="C280" s="411" t="s">
        <v>519</v>
      </c>
      <c r="D280" s="46" t="s">
        <v>18</v>
      </c>
      <c r="E280" s="132" t="s">
        <v>19</v>
      </c>
      <c r="F280" s="65" t="s">
        <v>26</v>
      </c>
      <c r="G280" s="154">
        <v>2460</v>
      </c>
      <c r="H280" s="438">
        <f>1788.8</f>
        <v>1788.8</v>
      </c>
      <c r="I280" s="187">
        <v>1230</v>
      </c>
      <c r="J280" s="39">
        <f>203.9+522.5</f>
        <v>726.4</v>
      </c>
      <c r="K280" s="180">
        <v>0</v>
      </c>
      <c r="L280" s="288"/>
      <c r="M280" s="30">
        <f>203.9+522.5</f>
        <v>726.4</v>
      </c>
      <c r="N280" s="30"/>
      <c r="O280" s="31"/>
      <c r="P280" s="32"/>
      <c r="Q280" s="5">
        <f>+K280-'[1]вересень (2)'!K259</f>
        <v>-152</v>
      </c>
      <c r="R280" s="5"/>
      <c r="AE280" s="207">
        <f>+J280-'[1]26.06. +спорт+днз№15'!J279</f>
        <v>0</v>
      </c>
    </row>
    <row r="281" spans="1:31" ht="111.75" customHeight="1" x14ac:dyDescent="0.45">
      <c r="A281" s="264"/>
      <c r="B281" s="329"/>
      <c r="C281" s="156" t="s">
        <v>527</v>
      </c>
      <c r="D281" s="60" t="s">
        <v>18</v>
      </c>
      <c r="E281" s="67" t="s">
        <v>19</v>
      </c>
      <c r="F281" s="65" t="s">
        <v>26</v>
      </c>
      <c r="G281" s="157">
        <v>8</v>
      </c>
      <c r="H281" s="157">
        <v>4</v>
      </c>
      <c r="I281" s="432">
        <v>4</v>
      </c>
      <c r="J281" s="39">
        <f>11+60</f>
        <v>71</v>
      </c>
      <c r="K281" s="439">
        <v>0</v>
      </c>
      <c r="L281" s="181"/>
      <c r="M281" s="30">
        <f>11+60</f>
        <v>71</v>
      </c>
      <c r="N281" s="30"/>
      <c r="O281" s="31"/>
      <c r="P281" s="5"/>
      <c r="Q281" s="5">
        <f>+K281-'[1]вересень (2)'!K260</f>
        <v>-55</v>
      </c>
      <c r="R281" s="5"/>
      <c r="AE281" s="207">
        <f>+J281-'[1]26.06. +спорт+днз№15'!J280</f>
        <v>0</v>
      </c>
    </row>
    <row r="282" spans="1:31" ht="168.75" customHeight="1" x14ac:dyDescent="0.45">
      <c r="A282" s="212"/>
      <c r="B282" s="216" t="s">
        <v>530</v>
      </c>
      <c r="C282" s="281" t="s">
        <v>531</v>
      </c>
      <c r="D282" s="307" t="s">
        <v>18</v>
      </c>
      <c r="E282" s="139" t="s">
        <v>19</v>
      </c>
      <c r="F282" s="140" t="s">
        <v>26</v>
      </c>
      <c r="G282" s="440">
        <f>SUM(G283:G286)</f>
        <v>138.5</v>
      </c>
      <c r="H282" s="440">
        <f>SUM(H283:H286)</f>
        <v>227.8</v>
      </c>
      <c r="I282" s="440">
        <f>SUM(I283:I286)</f>
        <v>238.29999999999998</v>
      </c>
      <c r="J282" s="440">
        <f>SUM(J283:J286)</f>
        <v>148</v>
      </c>
      <c r="K282" s="440">
        <f>SUM(K283:K286)</f>
        <v>152</v>
      </c>
      <c r="L282" s="234" t="s">
        <v>532</v>
      </c>
      <c r="M282" s="72"/>
      <c r="N282" s="30"/>
      <c r="O282" s="31">
        <f>+J282-'[1]вересень (2)'!J259</f>
        <v>0</v>
      </c>
      <c r="P282" s="5"/>
      <c r="Q282" s="5">
        <f>+K282-'[1]вересень (2)'!K261</f>
        <v>67</v>
      </c>
      <c r="R282" s="5"/>
      <c r="AE282" s="207">
        <f>+J282-'[1]26.06. +спорт+днз№15'!J281</f>
        <v>0</v>
      </c>
    </row>
    <row r="283" spans="1:31" ht="96.75" customHeight="1" x14ac:dyDescent="0.45">
      <c r="A283" s="212"/>
      <c r="B283" s="114"/>
      <c r="C283" s="49" t="s">
        <v>517</v>
      </c>
      <c r="D283" s="441" t="s">
        <v>18</v>
      </c>
      <c r="E283" s="46" t="s">
        <v>19</v>
      </c>
      <c r="F283" s="49" t="s">
        <v>26</v>
      </c>
      <c r="G283" s="38">
        <v>33</v>
      </c>
      <c r="H283" s="38">
        <v>119.1</v>
      </c>
      <c r="I283" s="38">
        <f>80+41.6</f>
        <v>121.6</v>
      </c>
      <c r="J283" s="38">
        <v>43</v>
      </c>
      <c r="K283" s="38">
        <v>55</v>
      </c>
      <c r="L283" s="52"/>
      <c r="M283" s="72">
        <v>50.6</v>
      </c>
      <c r="N283" s="72">
        <f>+J283-M283</f>
        <v>-7.6000000000000014</v>
      </c>
      <c r="O283" s="31">
        <f>+J283-'[1]вересень (2)'!J260</f>
        <v>0</v>
      </c>
      <c r="P283" s="5"/>
      <c r="Q283" s="5">
        <f>+K283-'[1]вересень (2)'!K262</f>
        <v>49</v>
      </c>
      <c r="R283" s="5"/>
      <c r="AE283" s="207">
        <f>+J283-'[1]26.06. +спорт+днз№15'!J282</f>
        <v>0</v>
      </c>
    </row>
    <row r="284" spans="1:31" ht="96.75" customHeight="1" x14ac:dyDescent="0.45">
      <c r="A284" s="212"/>
      <c r="B284" s="114"/>
      <c r="C284" s="49" t="s">
        <v>519</v>
      </c>
      <c r="D284" s="441" t="s">
        <v>18</v>
      </c>
      <c r="E284" s="139" t="s">
        <v>19</v>
      </c>
      <c r="F284" s="294" t="s">
        <v>26</v>
      </c>
      <c r="G284" s="426">
        <v>90</v>
      </c>
      <c r="H284" s="426">
        <v>88.7</v>
      </c>
      <c r="I284" s="426">
        <v>90</v>
      </c>
      <c r="J284" s="426">
        <v>92</v>
      </c>
      <c r="K284" s="426">
        <v>85</v>
      </c>
      <c r="L284" s="234"/>
      <c r="M284" s="72">
        <v>57.3</v>
      </c>
      <c r="N284" s="72">
        <f t="shared" ref="N284:N286" si="1">+J284-M284</f>
        <v>34.700000000000003</v>
      </c>
      <c r="O284" s="31">
        <f>+J284-'[1]вересень (2)'!J261</f>
        <v>0</v>
      </c>
      <c r="P284" s="5"/>
      <c r="Q284" s="5">
        <f>+K284-'[1]вересень (2)'!K263</f>
        <v>79</v>
      </c>
      <c r="R284" s="5"/>
      <c r="AE284" s="207">
        <f>+J284-'[1]26.06. +спорт+днз№15'!J283</f>
        <v>0</v>
      </c>
    </row>
    <row r="285" spans="1:31" ht="100.5" customHeight="1" x14ac:dyDescent="0.45">
      <c r="A285" s="212"/>
      <c r="B285" s="114"/>
      <c r="C285" s="49" t="s">
        <v>527</v>
      </c>
      <c r="D285" s="441" t="s">
        <v>18</v>
      </c>
      <c r="E285" s="24" t="s">
        <v>19</v>
      </c>
      <c r="F285" s="294" t="s">
        <v>26</v>
      </c>
      <c r="G285" s="27">
        <v>9</v>
      </c>
      <c r="H285" s="27">
        <v>15</v>
      </c>
      <c r="I285" s="27">
        <f>10+4.2</f>
        <v>14.2</v>
      </c>
      <c r="J285" s="27">
        <v>8</v>
      </c>
      <c r="K285" s="27">
        <v>6</v>
      </c>
      <c r="L285" s="410"/>
      <c r="M285" s="72">
        <v>8</v>
      </c>
      <c r="N285" s="72">
        <f t="shared" si="1"/>
        <v>0</v>
      </c>
      <c r="O285" s="31">
        <f>+J285-'[1]вересень (2)'!J262</f>
        <v>0</v>
      </c>
      <c r="P285" s="5"/>
      <c r="Q285" s="5">
        <f>+K285-'[1]вересень (2)'!K264</f>
        <v>-5486</v>
      </c>
      <c r="R285" s="5"/>
      <c r="AE285" s="207">
        <f>+J285-'[1]26.06. +спорт+днз№15'!J284</f>
        <v>0</v>
      </c>
    </row>
    <row r="286" spans="1:31" ht="111.75" customHeight="1" x14ac:dyDescent="0.45">
      <c r="A286" s="212"/>
      <c r="B286" s="114"/>
      <c r="C286" s="49" t="s">
        <v>521</v>
      </c>
      <c r="D286" s="441" t="s">
        <v>18</v>
      </c>
      <c r="E286" s="24" t="s">
        <v>19</v>
      </c>
      <c r="F286" s="294" t="s">
        <v>26</v>
      </c>
      <c r="G286" s="27">
        <v>6.5</v>
      </c>
      <c r="H286" s="27">
        <v>5</v>
      </c>
      <c r="I286" s="27">
        <f>6+6.5</f>
        <v>12.5</v>
      </c>
      <c r="J286" s="27">
        <v>5</v>
      </c>
      <c r="K286" s="27">
        <v>6</v>
      </c>
      <c r="L286" s="410"/>
      <c r="M286" s="72">
        <f>8+3.9</f>
        <v>11.9</v>
      </c>
      <c r="N286" s="72">
        <f t="shared" si="1"/>
        <v>-6.9</v>
      </c>
      <c r="O286" s="31">
        <f>+J286-'[1]вересень (2)'!J263</f>
        <v>0</v>
      </c>
      <c r="P286" s="5"/>
      <c r="Q286" s="5">
        <f>+K286-'[1]вересень (2)'!K265</f>
        <v>6</v>
      </c>
      <c r="R286" s="5"/>
      <c r="AE286" s="207">
        <f>+J286-'[1]26.06. +спорт+днз№15'!J285</f>
        <v>0</v>
      </c>
    </row>
    <row r="287" spans="1:31" ht="52.5" customHeight="1" x14ac:dyDescent="0.45">
      <c r="A287" s="275"/>
      <c r="B287" s="216"/>
      <c r="C287" s="381" t="s">
        <v>63</v>
      </c>
      <c r="D287" s="442"/>
      <c r="E287" s="442"/>
      <c r="F287" s="78"/>
      <c r="G287" s="435">
        <f>G258+G263+G266+G270+G274+G278+G282</f>
        <v>23321.5</v>
      </c>
      <c r="H287" s="435">
        <f>H258+H263+H266+H270+H274+H278+H282</f>
        <v>12562.099999999999</v>
      </c>
      <c r="I287" s="435">
        <f>I258+I263+I266+I270+I274+I278+I282</f>
        <v>12782.3</v>
      </c>
      <c r="J287" s="435">
        <f>J258+J263+J266+J270+J274+J278+J282</f>
        <v>14080.899999999998</v>
      </c>
      <c r="K287" s="435">
        <f>K258+K263+K266+K270+K274+K278+K282</f>
        <v>5492</v>
      </c>
      <c r="L287" s="352"/>
      <c r="M287" s="72"/>
      <c r="N287" s="30"/>
      <c r="O287" s="31"/>
      <c r="P287" s="5"/>
      <c r="Q287" s="5">
        <f>+K287-'[1]вересень (2)'!K266</f>
        <v>5492</v>
      </c>
      <c r="R287" s="5"/>
      <c r="AE287" s="207">
        <f>+J287-'[1]26.06. +спорт+днз№15'!J286</f>
        <v>0</v>
      </c>
    </row>
    <row r="288" spans="1:31" ht="42.75" customHeight="1" x14ac:dyDescent="0.45">
      <c r="A288" s="443"/>
      <c r="B288" s="444"/>
      <c r="C288" s="648" t="s">
        <v>533</v>
      </c>
      <c r="D288" s="649"/>
      <c r="E288" s="649"/>
      <c r="F288" s="649"/>
      <c r="G288" s="649"/>
      <c r="H288" s="649"/>
      <c r="I288" s="649"/>
      <c r="J288" s="649"/>
      <c r="K288" s="650"/>
      <c r="L288" s="352"/>
      <c r="M288" s="72"/>
      <c r="N288" s="30"/>
      <c r="O288" s="31">
        <f>+J288-'[1]вересень (2)'!J265</f>
        <v>0</v>
      </c>
      <c r="P288" s="5"/>
      <c r="Q288" s="5">
        <f>+K288-'[1]вересень (2)'!K267</f>
        <v>0</v>
      </c>
      <c r="R288" s="5"/>
      <c r="AE288" s="207">
        <f>+J288-'[1]26.06. +спорт+днз№15'!J287</f>
        <v>0</v>
      </c>
    </row>
    <row r="289" spans="1:31" ht="148.5" customHeight="1" x14ac:dyDescent="0.45">
      <c r="A289" s="21">
        <v>13</v>
      </c>
      <c r="B289" s="445" t="s">
        <v>534</v>
      </c>
      <c r="C289" s="434" t="s">
        <v>535</v>
      </c>
      <c r="D289" s="46" t="s">
        <v>18</v>
      </c>
      <c r="E289" s="24" t="s">
        <v>19</v>
      </c>
      <c r="F289" s="78" t="s">
        <v>26</v>
      </c>
      <c r="G289" s="435">
        <f>G290+G291+G292</f>
        <v>4509</v>
      </c>
      <c r="H289" s="435">
        <f>H290+H291+H292</f>
        <v>4509</v>
      </c>
      <c r="I289" s="435">
        <f>I290+I291+I292</f>
        <v>4509</v>
      </c>
      <c r="J289" s="435">
        <f>J290+J291+J292</f>
        <v>1957</v>
      </c>
      <c r="K289" s="435">
        <f>K290+K291+K292</f>
        <v>0</v>
      </c>
      <c r="L289" s="352" t="s">
        <v>536</v>
      </c>
      <c r="M289" s="72"/>
      <c r="N289" s="30"/>
      <c r="O289" s="31">
        <f>+J289-'[1]вересень (2)'!J266</f>
        <v>1957</v>
      </c>
      <c r="P289" s="5"/>
      <c r="Q289" s="5">
        <f>+K289-'[1]вересень (2)'!K268</f>
        <v>0</v>
      </c>
      <c r="R289" s="5"/>
      <c r="AE289" s="207">
        <f>+J289-'[1]26.06. +спорт+днз№15'!J288</f>
        <v>0</v>
      </c>
    </row>
    <row r="290" spans="1:31" ht="72.75" customHeight="1" x14ac:dyDescent="0.45">
      <c r="A290" s="33"/>
      <c r="B290" s="445"/>
      <c r="C290" s="338" t="s">
        <v>523</v>
      </c>
      <c r="D290" s="46" t="s">
        <v>18</v>
      </c>
      <c r="E290" s="24" t="s">
        <v>19</v>
      </c>
      <c r="F290" s="294" t="s">
        <v>26</v>
      </c>
      <c r="G290" s="160">
        <v>2525</v>
      </c>
      <c r="H290" s="160">
        <v>2525</v>
      </c>
      <c r="I290" s="160">
        <v>2525</v>
      </c>
      <c r="J290" s="160">
        <v>1025</v>
      </c>
      <c r="K290" s="160">
        <v>0</v>
      </c>
      <c r="L290" s="71"/>
      <c r="M290" s="30">
        <v>1025</v>
      </c>
      <c r="N290" s="30"/>
      <c r="O290" s="31"/>
      <c r="P290" s="5"/>
      <c r="Q290" s="5">
        <f>+K290-'[1]вересень (2)'!K269</f>
        <v>0</v>
      </c>
      <c r="R290" s="5"/>
      <c r="AE290" s="207">
        <f>+J290-'[1]26.06. +спорт+днз№15'!J289</f>
        <v>0</v>
      </c>
    </row>
    <row r="291" spans="1:31" ht="62.25" customHeight="1" x14ac:dyDescent="0.45">
      <c r="A291" s="33"/>
      <c r="B291" s="445"/>
      <c r="C291" s="338" t="s">
        <v>519</v>
      </c>
      <c r="D291" s="46" t="s">
        <v>18</v>
      </c>
      <c r="E291" s="24" t="s">
        <v>19</v>
      </c>
      <c r="F291" s="294" t="s">
        <v>26</v>
      </c>
      <c r="G291" s="160">
        <v>1976</v>
      </c>
      <c r="H291" s="160">
        <v>1976</v>
      </c>
      <c r="I291" s="160">
        <v>1976</v>
      </c>
      <c r="J291" s="160">
        <v>918.4</v>
      </c>
      <c r="K291" s="160">
        <v>0</v>
      </c>
      <c r="L291" s="71"/>
      <c r="M291" s="30">
        <v>918.4</v>
      </c>
      <c r="N291" s="30"/>
      <c r="O291" s="31"/>
      <c r="P291" s="5"/>
      <c r="Q291" s="5">
        <f>+K291-'[1]вересень (2)'!K270</f>
        <v>0</v>
      </c>
      <c r="R291" s="5"/>
      <c r="AE291" s="207">
        <f>+J291-'[1]26.06. +спорт+днз№15'!J290</f>
        <v>0</v>
      </c>
    </row>
    <row r="292" spans="1:31" ht="91.5" customHeight="1" x14ac:dyDescent="0.45">
      <c r="A292" s="33"/>
      <c r="B292" s="445"/>
      <c r="C292" s="338" t="s">
        <v>527</v>
      </c>
      <c r="D292" s="46" t="s">
        <v>18</v>
      </c>
      <c r="E292" s="24" t="s">
        <v>19</v>
      </c>
      <c r="F292" s="294" t="s">
        <v>26</v>
      </c>
      <c r="G292" s="160">
        <v>8</v>
      </c>
      <c r="H292" s="160">
        <v>8</v>
      </c>
      <c r="I292" s="160">
        <v>8</v>
      </c>
      <c r="J292" s="160">
        <v>13.6</v>
      </c>
      <c r="K292" s="160">
        <v>0</v>
      </c>
      <c r="L292" s="71"/>
      <c r="M292" s="30">
        <v>13.6</v>
      </c>
      <c r="N292" s="30"/>
      <c r="O292" s="31"/>
      <c r="P292" s="32"/>
      <c r="Q292" s="5">
        <f>+K292-'[1]вересень (2)'!K271</f>
        <v>0</v>
      </c>
      <c r="R292" s="5"/>
      <c r="AE292" s="207">
        <f>+J292-'[1]26.06. +спорт+днз№15'!J291</f>
        <v>0</v>
      </c>
    </row>
    <row r="293" spans="1:31" ht="119.25" customHeight="1" x14ac:dyDescent="0.45">
      <c r="A293" s="124"/>
      <c r="B293" s="445"/>
      <c r="C293" s="446" t="s">
        <v>537</v>
      </c>
      <c r="D293" s="46" t="s">
        <v>18</v>
      </c>
      <c r="E293" s="132" t="s">
        <v>19</v>
      </c>
      <c r="F293" s="65" t="s">
        <v>26</v>
      </c>
      <c r="G293" s="382">
        <f>G294+G295+G296</f>
        <v>76</v>
      </c>
      <c r="H293" s="382">
        <f>H294+H295+H296</f>
        <v>88.2</v>
      </c>
      <c r="I293" s="382">
        <f>I294+I295+I296</f>
        <v>38</v>
      </c>
      <c r="J293" s="382">
        <f>J294+J295+J296</f>
        <v>56.3</v>
      </c>
      <c r="K293" s="382">
        <f>K294+K295+K296</f>
        <v>0</v>
      </c>
      <c r="L293" s="288" t="s">
        <v>538</v>
      </c>
      <c r="M293" s="72"/>
      <c r="N293" s="30"/>
      <c r="O293" s="31">
        <f>+J293-'[1]вересень (2)'!J270</f>
        <v>56.3</v>
      </c>
      <c r="P293" s="5"/>
      <c r="Q293" s="5">
        <f>+K293-'[1]вересень (2)'!K272</f>
        <v>0</v>
      </c>
      <c r="R293" s="5"/>
      <c r="AE293" s="207">
        <f>+J293-'[1]26.06. +спорт+днз№15'!J292</f>
        <v>0</v>
      </c>
    </row>
    <row r="294" spans="1:31" ht="92.25" x14ac:dyDescent="0.45">
      <c r="A294" s="33"/>
      <c r="B294" s="447"/>
      <c r="C294" s="74" t="s">
        <v>523</v>
      </c>
      <c r="D294" s="60" t="s">
        <v>18</v>
      </c>
      <c r="E294" s="139" t="s">
        <v>19</v>
      </c>
      <c r="F294" s="140" t="s">
        <v>26</v>
      </c>
      <c r="G294" s="426">
        <v>40</v>
      </c>
      <c r="H294" s="448">
        <v>56.2</v>
      </c>
      <c r="I294" s="449">
        <v>20</v>
      </c>
      <c r="J294" s="232">
        <v>23</v>
      </c>
      <c r="K294" s="232">
        <v>0</v>
      </c>
      <c r="L294" s="234"/>
      <c r="M294" s="30">
        <v>23</v>
      </c>
      <c r="N294" s="30"/>
      <c r="O294" s="31"/>
      <c r="P294" s="5"/>
      <c r="Q294" s="5">
        <f>+K294-'[1]вересень (2)'!K273</f>
        <v>0</v>
      </c>
      <c r="R294" s="5"/>
      <c r="AE294" s="207">
        <f>+J294-'[1]26.06. +спорт+днз№15'!J293</f>
        <v>0</v>
      </c>
    </row>
    <row r="295" spans="1:31" ht="90" customHeight="1" x14ac:dyDescent="0.45">
      <c r="A295" s="58"/>
      <c r="B295" s="48"/>
      <c r="C295" s="197" t="s">
        <v>519</v>
      </c>
      <c r="D295" s="46" t="s">
        <v>18</v>
      </c>
      <c r="E295" s="121" t="s">
        <v>19</v>
      </c>
      <c r="F295" s="172" t="s">
        <v>26</v>
      </c>
      <c r="G295" s="450">
        <v>34</v>
      </c>
      <c r="H295" s="278">
        <v>30</v>
      </c>
      <c r="I295" s="451">
        <v>17</v>
      </c>
      <c r="J295" s="198">
        <v>25.3</v>
      </c>
      <c r="K295" s="198">
        <v>0</v>
      </c>
      <c r="L295" s="292"/>
      <c r="M295" s="30">
        <v>25.3</v>
      </c>
      <c r="N295" s="30"/>
      <c r="O295" s="31"/>
      <c r="P295" s="5"/>
      <c r="Q295" s="5">
        <f>+K295-'[1]вересень (2)'!K274</f>
        <v>0</v>
      </c>
      <c r="R295" s="5"/>
      <c r="AE295" s="207">
        <f>+J295-'[1]26.06. +спорт+днз№15'!J294</f>
        <v>0</v>
      </c>
    </row>
    <row r="296" spans="1:31" ht="101.25" customHeight="1" x14ac:dyDescent="0.45">
      <c r="A296" s="33"/>
      <c r="B296" s="48"/>
      <c r="C296" s="230" t="s">
        <v>527</v>
      </c>
      <c r="D296" s="60" t="s">
        <v>18</v>
      </c>
      <c r="E296" s="67" t="s">
        <v>19</v>
      </c>
      <c r="F296" s="65" t="s">
        <v>26</v>
      </c>
      <c r="G296" s="432">
        <v>2</v>
      </c>
      <c r="H296" s="278">
        <v>2</v>
      </c>
      <c r="I296" s="439">
        <v>1</v>
      </c>
      <c r="J296" s="157">
        <v>8</v>
      </c>
      <c r="K296" s="157">
        <v>0</v>
      </c>
      <c r="L296" s="181"/>
      <c r="M296" s="30">
        <v>8</v>
      </c>
      <c r="N296" s="30"/>
      <c r="O296" s="31"/>
      <c r="P296" s="5"/>
      <c r="Q296" s="5">
        <f>+K296-'[1]вересень (2)'!K275</f>
        <v>0</v>
      </c>
      <c r="R296" s="5"/>
      <c r="AE296" s="207">
        <f>+J296-'[1]26.06. +спорт+днз№15'!J295</f>
        <v>0</v>
      </c>
    </row>
    <row r="297" spans="1:31" ht="153.75" x14ac:dyDescent="0.45">
      <c r="A297" s="33"/>
      <c r="B297" s="48"/>
      <c r="C297" s="434" t="s">
        <v>539</v>
      </c>
      <c r="D297" s="46" t="s">
        <v>18</v>
      </c>
      <c r="E297" s="24" t="s">
        <v>19</v>
      </c>
      <c r="F297" s="294" t="s">
        <v>26</v>
      </c>
      <c r="G297" s="435">
        <f>G298+G299+G300</f>
        <v>451</v>
      </c>
      <c r="H297" s="452">
        <f>H298+H299+H300</f>
        <v>75.199999999999989</v>
      </c>
      <c r="I297" s="435">
        <f>I298+I299+I300</f>
        <v>0</v>
      </c>
      <c r="J297" s="435">
        <f>J298+J299+J300</f>
        <v>80</v>
      </c>
      <c r="K297" s="435">
        <f>K298+K299+K300</f>
        <v>0</v>
      </c>
      <c r="L297" s="352" t="s">
        <v>540</v>
      </c>
      <c r="M297" s="72"/>
      <c r="N297" s="30"/>
      <c r="O297" s="31">
        <f>+J297-'[1]вересень (2)'!J274</f>
        <v>80</v>
      </c>
      <c r="P297" s="5"/>
      <c r="Q297" s="5">
        <f>+K297-'[1]вересень (2)'!K276</f>
        <v>0</v>
      </c>
      <c r="R297" s="5"/>
      <c r="AE297" s="207">
        <f>+J297-'[1]26.06. +спорт+днз№15'!J296</f>
        <v>0</v>
      </c>
    </row>
    <row r="298" spans="1:31" ht="71.25" customHeight="1" x14ac:dyDescent="0.45">
      <c r="A298" s="212"/>
      <c r="B298" s="48"/>
      <c r="C298" s="338" t="s">
        <v>523</v>
      </c>
      <c r="D298" s="46" t="s">
        <v>18</v>
      </c>
      <c r="E298" s="24" t="s">
        <v>19</v>
      </c>
      <c r="F298" s="294" t="s">
        <v>26</v>
      </c>
      <c r="G298" s="351">
        <v>95</v>
      </c>
      <c r="H298" s="351">
        <v>12.6</v>
      </c>
      <c r="I298" s="351">
        <v>0</v>
      </c>
      <c r="J298" s="351">
        <v>17.5</v>
      </c>
      <c r="K298" s="351">
        <v>0</v>
      </c>
      <c r="L298" s="352"/>
      <c r="M298" s="30">
        <v>17.5</v>
      </c>
      <c r="N298" s="30"/>
      <c r="O298" s="31"/>
      <c r="P298" s="5"/>
      <c r="Q298" s="5">
        <f>+K298-'[1]вересень (2)'!K277</f>
        <v>0</v>
      </c>
      <c r="R298" s="5"/>
      <c r="AE298" s="207">
        <f>+J298-'[1]26.06. +спорт+днз№15'!J297</f>
        <v>0</v>
      </c>
    </row>
    <row r="299" spans="1:31" ht="67.5" customHeight="1" x14ac:dyDescent="0.45">
      <c r="A299" s="212"/>
      <c r="B299" s="48"/>
      <c r="C299" s="338" t="s">
        <v>519</v>
      </c>
      <c r="D299" s="46" t="s">
        <v>18</v>
      </c>
      <c r="E299" s="24" t="s">
        <v>19</v>
      </c>
      <c r="F299" s="294" t="s">
        <v>26</v>
      </c>
      <c r="G299" s="351">
        <v>335</v>
      </c>
      <c r="H299" s="351">
        <v>58.3</v>
      </c>
      <c r="I299" s="351">
        <v>0</v>
      </c>
      <c r="J299" s="351">
        <v>55.1</v>
      </c>
      <c r="K299" s="351">
        <v>0</v>
      </c>
      <c r="L299" s="352"/>
      <c r="M299" s="30">
        <v>55.1</v>
      </c>
      <c r="N299" s="30"/>
      <c r="O299" s="31"/>
      <c r="P299" s="5"/>
      <c r="Q299" s="5">
        <f>+K299-'[1]вересень (2)'!K278</f>
        <v>0</v>
      </c>
      <c r="R299" s="5"/>
      <c r="AE299" s="207">
        <f>+J299-'[1]26.06. +спорт+днз№15'!J298</f>
        <v>0</v>
      </c>
    </row>
    <row r="300" spans="1:31" ht="87" customHeight="1" x14ac:dyDescent="0.45">
      <c r="A300" s="212"/>
      <c r="B300" s="48"/>
      <c r="C300" s="411" t="s">
        <v>527</v>
      </c>
      <c r="D300" s="46" t="s">
        <v>18</v>
      </c>
      <c r="E300" s="132" t="s">
        <v>19</v>
      </c>
      <c r="F300" s="153" t="s">
        <v>26</v>
      </c>
      <c r="G300" s="154">
        <v>21</v>
      </c>
      <c r="H300" s="351">
        <v>4.3</v>
      </c>
      <c r="I300" s="351">
        <v>0</v>
      </c>
      <c r="J300" s="351">
        <v>7.4</v>
      </c>
      <c r="K300" s="351">
        <v>0</v>
      </c>
      <c r="L300" s="288"/>
      <c r="M300" s="30">
        <v>7.4</v>
      </c>
      <c r="N300" s="30"/>
      <c r="O300" s="31"/>
      <c r="P300" s="5"/>
      <c r="Q300" s="5">
        <f>+K300-'[1]вересень (2)'!K279</f>
        <v>0</v>
      </c>
      <c r="R300" s="5"/>
      <c r="AE300" s="207">
        <f>+J300-'[1]26.06. +спорт+днз№15'!J299</f>
        <v>0</v>
      </c>
    </row>
    <row r="301" spans="1:31" ht="92.25" x14ac:dyDescent="0.45">
      <c r="A301" s="212"/>
      <c r="B301" s="48"/>
      <c r="C301" s="434" t="s">
        <v>541</v>
      </c>
      <c r="D301" s="46" t="s">
        <v>18</v>
      </c>
      <c r="E301" s="24" t="s">
        <v>19</v>
      </c>
      <c r="F301" s="294" t="s">
        <v>26</v>
      </c>
      <c r="G301" s="435">
        <f>G302+G303+G304</f>
        <v>1180</v>
      </c>
      <c r="H301" s="435">
        <f>H302+H303+H304</f>
        <v>590</v>
      </c>
      <c r="I301" s="435">
        <f>I302+I303+I304</f>
        <v>590</v>
      </c>
      <c r="J301" s="435">
        <f>J302+J303+J304</f>
        <v>657.7</v>
      </c>
      <c r="K301" s="435">
        <f>K302+K303+K304</f>
        <v>0</v>
      </c>
      <c r="L301" s="352" t="s">
        <v>542</v>
      </c>
      <c r="M301" s="72"/>
      <c r="N301" s="30"/>
      <c r="O301" s="31">
        <f>+J301-'[1]вересень (2)'!J278</f>
        <v>657.7</v>
      </c>
      <c r="P301" s="5"/>
      <c r="Q301" s="5">
        <f>+K301-'[1]вересень (2)'!K280</f>
        <v>0</v>
      </c>
      <c r="R301" s="5"/>
      <c r="AE301" s="207">
        <f>+J301-'[1]26.06. +спорт+днз№15'!J300</f>
        <v>0</v>
      </c>
    </row>
    <row r="302" spans="1:31" ht="94.5" customHeight="1" x14ac:dyDescent="0.45">
      <c r="A302" s="212"/>
      <c r="B302" s="48"/>
      <c r="C302" s="74" t="s">
        <v>523</v>
      </c>
      <c r="D302" s="46" t="s">
        <v>18</v>
      </c>
      <c r="E302" s="24" t="s">
        <v>19</v>
      </c>
      <c r="F302" s="294" t="s">
        <v>26</v>
      </c>
      <c r="G302" s="351">
        <v>410</v>
      </c>
      <c r="H302" s="351">
        <v>205</v>
      </c>
      <c r="I302" s="351">
        <v>205</v>
      </c>
      <c r="J302" s="351">
        <v>241</v>
      </c>
      <c r="K302" s="351">
        <v>0</v>
      </c>
      <c r="L302" s="352"/>
      <c r="M302" s="30">
        <f>204+37</f>
        <v>241</v>
      </c>
      <c r="N302" s="30"/>
      <c r="O302" s="31"/>
      <c r="P302" s="32"/>
      <c r="Q302" s="5">
        <f>+K302-'[1]вересень (2)'!K281</f>
        <v>0</v>
      </c>
      <c r="R302" s="5"/>
      <c r="AE302" s="207">
        <f>+J302-'[1]26.06. +спорт+днз№15'!J301</f>
        <v>0</v>
      </c>
    </row>
    <row r="303" spans="1:31" ht="90" customHeight="1" x14ac:dyDescent="0.45">
      <c r="A303" s="212"/>
      <c r="B303" s="48"/>
      <c r="C303" s="338" t="s">
        <v>519</v>
      </c>
      <c r="D303" s="46" t="s">
        <v>18</v>
      </c>
      <c r="E303" s="24" t="s">
        <v>19</v>
      </c>
      <c r="F303" s="140" t="s">
        <v>26</v>
      </c>
      <c r="G303" s="26">
        <v>700</v>
      </c>
      <c r="H303" s="26">
        <v>350</v>
      </c>
      <c r="I303" s="26">
        <v>350</v>
      </c>
      <c r="J303" s="26">
        <v>410.2</v>
      </c>
      <c r="K303" s="26">
        <v>0</v>
      </c>
      <c r="L303" s="410"/>
      <c r="M303" s="30">
        <f>289.2+121</f>
        <v>410.2</v>
      </c>
      <c r="N303" s="30"/>
      <c r="O303" s="31"/>
      <c r="P303" s="32"/>
      <c r="Q303" s="5">
        <f>+K303-'[1]вересень (2)'!K282</f>
        <v>-170</v>
      </c>
      <c r="R303" s="5"/>
      <c r="AE303" s="207">
        <f>+J303-'[1]26.06. +спорт+днз№15'!J302</f>
        <v>0</v>
      </c>
    </row>
    <row r="304" spans="1:31" ht="92.25" x14ac:dyDescent="0.45">
      <c r="A304" s="212"/>
      <c r="B304" s="48"/>
      <c r="C304" s="411" t="s">
        <v>527</v>
      </c>
      <c r="D304" s="46" t="s">
        <v>18</v>
      </c>
      <c r="E304" s="132" t="s">
        <v>19</v>
      </c>
      <c r="F304" s="153" t="s">
        <v>26</v>
      </c>
      <c r="G304" s="154">
        <v>70</v>
      </c>
      <c r="H304" s="154">
        <v>35</v>
      </c>
      <c r="I304" s="154">
        <v>35</v>
      </c>
      <c r="J304" s="154">
        <v>6.5</v>
      </c>
      <c r="K304" s="154">
        <v>0</v>
      </c>
      <c r="L304" s="288"/>
      <c r="M304" s="30">
        <v>6.5</v>
      </c>
      <c r="N304" s="30"/>
      <c r="O304" s="31"/>
      <c r="P304" s="5"/>
      <c r="Q304" s="5">
        <f>+K304-'[1]вересень (2)'!K283</f>
        <v>-90</v>
      </c>
      <c r="R304" s="5"/>
      <c r="AE304" s="207">
        <f>+J304-'[1]26.06. +спорт+днз№15'!J303</f>
        <v>0</v>
      </c>
    </row>
    <row r="305" spans="1:69" ht="92.25" x14ac:dyDescent="0.45">
      <c r="A305" s="212"/>
      <c r="B305" s="48"/>
      <c r="C305" s="453" t="s">
        <v>543</v>
      </c>
      <c r="D305" s="133" t="s">
        <v>18</v>
      </c>
      <c r="E305" s="454" t="s">
        <v>19</v>
      </c>
      <c r="F305" s="266" t="s">
        <v>26</v>
      </c>
      <c r="G305" s="455">
        <f>G306+G307</f>
        <v>200</v>
      </c>
      <c r="H305" s="455">
        <f>H306+H307</f>
        <v>456.4</v>
      </c>
      <c r="I305" s="455">
        <f>I306+I307</f>
        <v>140</v>
      </c>
      <c r="J305" s="455">
        <f>J306+J307</f>
        <v>210</v>
      </c>
      <c r="K305" s="455">
        <f>K306+K307</f>
        <v>170</v>
      </c>
      <c r="L305" s="651" t="s">
        <v>540</v>
      </c>
      <c r="M305" s="137"/>
      <c r="N305" s="137"/>
      <c r="O305" s="31">
        <f>+J305-'[1]вересень (2)'!J282</f>
        <v>0</v>
      </c>
      <c r="P305" s="5"/>
      <c r="Q305" s="5">
        <f>+K305-'[1]вересень (2)'!K284</f>
        <v>90</v>
      </c>
      <c r="R305" s="5"/>
      <c r="AE305" s="207">
        <f>+J305-'[1]26.06. +спорт+днз№15'!J304</f>
        <v>0</v>
      </c>
    </row>
    <row r="306" spans="1:69" ht="92.25" x14ac:dyDescent="0.45">
      <c r="A306" s="212"/>
      <c r="B306" s="48"/>
      <c r="C306" s="131" t="s">
        <v>523</v>
      </c>
      <c r="D306" s="133" t="s">
        <v>18</v>
      </c>
      <c r="E306" s="456" t="s">
        <v>19</v>
      </c>
      <c r="F306" s="457" t="s">
        <v>26</v>
      </c>
      <c r="G306" s="458">
        <v>100</v>
      </c>
      <c r="H306" s="458">
        <v>221</v>
      </c>
      <c r="I306" s="458">
        <v>50</v>
      </c>
      <c r="J306" s="458">
        <v>80</v>
      </c>
      <c r="K306" s="458">
        <v>90</v>
      </c>
      <c r="L306" s="652"/>
      <c r="M306" s="137"/>
      <c r="N306" s="137"/>
      <c r="O306" s="31">
        <f>+J306-'[1]вересень (2)'!J283</f>
        <v>0</v>
      </c>
      <c r="P306" s="459"/>
      <c r="Q306" s="5">
        <f>+K306-'[1]вересень (2)'!K285</f>
        <v>-1110</v>
      </c>
      <c r="R306" s="5"/>
      <c r="AE306" s="207">
        <f>+J306-'[1]26.06. +спорт+днз№15'!J305</f>
        <v>0</v>
      </c>
    </row>
    <row r="307" spans="1:69" ht="86.25" customHeight="1" x14ac:dyDescent="0.45">
      <c r="A307" s="211"/>
      <c r="B307" s="48"/>
      <c r="C307" s="131" t="s">
        <v>519</v>
      </c>
      <c r="D307" s="133" t="s">
        <v>18</v>
      </c>
      <c r="E307" s="460" t="s">
        <v>19</v>
      </c>
      <c r="F307" s="461" t="s">
        <v>26</v>
      </c>
      <c r="G307" s="458">
        <v>100</v>
      </c>
      <c r="H307" s="458">
        <v>235.4</v>
      </c>
      <c r="I307" s="458">
        <v>90</v>
      </c>
      <c r="J307" s="458">
        <v>130</v>
      </c>
      <c r="K307" s="458">
        <v>80</v>
      </c>
      <c r="L307" s="653"/>
      <c r="M307" s="137"/>
      <c r="N307" s="137"/>
      <c r="O307" s="31">
        <f>+J307-'[1]вересень (2)'!J284</f>
        <v>0</v>
      </c>
      <c r="P307" s="459"/>
      <c r="Q307" s="5">
        <f>+K307-'[1]вересень (2)'!K286</f>
        <v>-3920</v>
      </c>
      <c r="R307" s="5"/>
      <c r="AE307" s="207">
        <f>+J307-'[1]26.06. +спорт+днз№15'!J306</f>
        <v>0</v>
      </c>
    </row>
    <row r="308" spans="1:69" ht="180" customHeight="1" x14ac:dyDescent="0.45">
      <c r="A308" s="211"/>
      <c r="B308" s="59"/>
      <c r="C308" s="429" t="s">
        <v>544</v>
      </c>
      <c r="D308" s="60" t="s">
        <v>18</v>
      </c>
      <c r="E308" s="67" t="s">
        <v>19</v>
      </c>
      <c r="F308" s="65" t="s">
        <v>26</v>
      </c>
      <c r="G308" s="437">
        <v>1600</v>
      </c>
      <c r="H308" s="462">
        <v>1000</v>
      </c>
      <c r="I308" s="437">
        <v>1000</v>
      </c>
      <c r="J308" s="437">
        <v>1800</v>
      </c>
      <c r="K308" s="437">
        <v>1200</v>
      </c>
      <c r="L308" s="181" t="s">
        <v>540</v>
      </c>
      <c r="M308" s="72"/>
      <c r="N308" s="30"/>
      <c r="O308" s="31">
        <f>+J308-'[1]вересень (2)'!J285</f>
        <v>0</v>
      </c>
      <c r="P308" s="32"/>
      <c r="Q308" s="5">
        <f>+K308-'[1]вересень (2)'!K287</f>
        <v>-800</v>
      </c>
      <c r="R308" s="5"/>
      <c r="AE308" s="207">
        <f>+J308-'[1]26.06. +спорт+днз№15'!J307</f>
        <v>0</v>
      </c>
    </row>
    <row r="309" spans="1:69" ht="125.25" customHeight="1" x14ac:dyDescent="0.45">
      <c r="A309" s="218"/>
      <c r="B309" s="59"/>
      <c r="C309" s="446" t="s">
        <v>545</v>
      </c>
      <c r="D309" s="60" t="s">
        <v>18</v>
      </c>
      <c r="E309" s="66" t="s">
        <v>19</v>
      </c>
      <c r="F309" s="294" t="s">
        <v>26</v>
      </c>
      <c r="G309" s="437">
        <f>G310+G312+G311</f>
        <v>4000</v>
      </c>
      <c r="H309" s="437">
        <f t="shared" ref="H309:I309" si="2">H310+H312+H311</f>
        <v>4000</v>
      </c>
      <c r="I309" s="437">
        <f t="shared" si="2"/>
        <v>4000</v>
      </c>
      <c r="J309" s="437">
        <f>J310+J312+J311</f>
        <v>4997.5</v>
      </c>
      <c r="K309" s="437">
        <f>K310+K312+K311</f>
        <v>4000</v>
      </c>
      <c r="L309" s="591" t="s">
        <v>546</v>
      </c>
      <c r="M309" s="463"/>
      <c r="N309" s="463"/>
      <c r="O309" s="31">
        <f>+J309-'[1]вересень (2)'!J286</f>
        <v>997.5</v>
      </c>
      <c r="P309" s="5"/>
      <c r="Q309" s="5">
        <f>+K309-'[1]вересень (2)'!K288</f>
        <v>2000</v>
      </c>
      <c r="R309" s="5"/>
      <c r="AE309" s="207">
        <f>+J309-'[1]26.06. +спорт+днз№15'!J308</f>
        <v>0</v>
      </c>
    </row>
    <row r="310" spans="1:69" ht="92.25" x14ac:dyDescent="0.45">
      <c r="A310" s="255"/>
      <c r="B310" s="48"/>
      <c r="C310" s="464" t="s">
        <v>547</v>
      </c>
      <c r="D310" s="46" t="s">
        <v>18</v>
      </c>
      <c r="E310" s="132" t="s">
        <v>19</v>
      </c>
      <c r="F310" s="153" t="s">
        <v>26</v>
      </c>
      <c r="G310" s="38">
        <v>2000</v>
      </c>
      <c r="H310" s="38">
        <v>2000</v>
      </c>
      <c r="I310" s="38">
        <v>2000</v>
      </c>
      <c r="J310" s="38">
        <v>2000</v>
      </c>
      <c r="K310" s="38">
        <v>2000</v>
      </c>
      <c r="L310" s="654"/>
      <c r="M310" s="463"/>
      <c r="N310" s="463"/>
      <c r="O310" s="31">
        <f>+J310-'[1]вересень (2)'!J287</f>
        <v>0</v>
      </c>
      <c r="P310" s="5"/>
      <c r="Q310" s="5">
        <f>+K310-'[1]вересень (2)'!K289</f>
        <v>-3370</v>
      </c>
      <c r="R310" s="5"/>
      <c r="AE310" s="207">
        <f>+J310-'[1]26.06. +спорт+днз№15'!J309</f>
        <v>0</v>
      </c>
    </row>
    <row r="311" spans="1:69" ht="92.25" x14ac:dyDescent="0.45">
      <c r="A311" s="319"/>
      <c r="B311" s="48"/>
      <c r="C311" s="464" t="s">
        <v>548</v>
      </c>
      <c r="D311" s="46" t="s">
        <v>18</v>
      </c>
      <c r="E311" s="132" t="s">
        <v>19</v>
      </c>
      <c r="F311" s="153" t="s">
        <v>26</v>
      </c>
      <c r="G311" s="38">
        <v>2000</v>
      </c>
      <c r="H311" s="38">
        <v>2000</v>
      </c>
      <c r="I311" s="38">
        <v>2000</v>
      </c>
      <c r="J311" s="38">
        <v>2000</v>
      </c>
      <c r="K311" s="38">
        <v>2000</v>
      </c>
      <c r="L311" s="654"/>
      <c r="M311" s="463"/>
      <c r="N311" s="463"/>
      <c r="O311" s="31"/>
      <c r="P311" s="5"/>
      <c r="Q311" s="5"/>
      <c r="R311" s="5"/>
      <c r="AE311" s="207">
        <f>+J311-'[1]26.06. +спорт+днз№15'!J310</f>
        <v>0</v>
      </c>
    </row>
    <row r="312" spans="1:69" ht="211.5" x14ac:dyDescent="0.45">
      <c r="A312" s="319"/>
      <c r="B312" s="48"/>
      <c r="C312" s="464" t="s">
        <v>549</v>
      </c>
      <c r="D312" s="46" t="s">
        <v>13</v>
      </c>
      <c r="E312" s="46" t="s">
        <v>19</v>
      </c>
      <c r="F312" s="49" t="s">
        <v>550</v>
      </c>
      <c r="G312" s="38">
        <v>0</v>
      </c>
      <c r="H312" s="38">
        <v>0</v>
      </c>
      <c r="I312" s="38">
        <v>0</v>
      </c>
      <c r="J312" s="38">
        <v>997.5</v>
      </c>
      <c r="K312" s="38">
        <v>0</v>
      </c>
      <c r="L312" s="592"/>
      <c r="M312" s="189"/>
      <c r="N312" s="113"/>
      <c r="O312" s="31">
        <f>+J312-'[1]вересень (2)'!J288</f>
        <v>-1002.5</v>
      </c>
      <c r="P312" s="5"/>
      <c r="Q312" s="5">
        <f>+K312-'[1]вересень (2)'!K290</f>
        <v>0</v>
      </c>
      <c r="R312" s="5"/>
      <c r="AE312" s="207">
        <f>+J312-'[1]26.06. +спорт+днз№15'!J311</f>
        <v>0</v>
      </c>
    </row>
    <row r="313" spans="1:69" ht="32.25" customHeight="1" x14ac:dyDescent="0.45">
      <c r="A313" s="465"/>
      <c r="B313" s="97"/>
      <c r="C313" s="414" t="s">
        <v>63</v>
      </c>
      <c r="D313" s="67"/>
      <c r="E313" s="67"/>
      <c r="F313" s="65"/>
      <c r="G313" s="414">
        <f>G289+G293+G297+G301+G305+G308+G309</f>
        <v>12016</v>
      </c>
      <c r="H313" s="414">
        <f>H289+H293+H297+H301+H305+H308+H309</f>
        <v>10718.8</v>
      </c>
      <c r="I313" s="414">
        <f>I289+I293+I297+I301+I305+I308+I309</f>
        <v>10277</v>
      </c>
      <c r="J313" s="414">
        <f>J289+J293+J297+J301+J305+J308+J309</f>
        <v>9758.5</v>
      </c>
      <c r="K313" s="414">
        <f>K289+K293+K297+K301+K305+K308+K309</f>
        <v>5370</v>
      </c>
      <c r="L313" s="181"/>
      <c r="M313" s="72"/>
      <c r="N313" s="30"/>
      <c r="O313" s="31"/>
      <c r="P313" s="5"/>
      <c r="Q313" s="5">
        <f>+K313-'[1]вересень (2)'!K291</f>
        <v>5370</v>
      </c>
      <c r="R313" s="5"/>
      <c r="AE313" s="207">
        <f>+J313-'[1]26.06. +спорт+днз№15'!J312</f>
        <v>0</v>
      </c>
    </row>
    <row r="314" spans="1:69" ht="35.25" customHeight="1" x14ac:dyDescent="0.45">
      <c r="A314" s="33"/>
      <c r="B314" s="379"/>
      <c r="C314" s="655" t="s">
        <v>551</v>
      </c>
      <c r="D314" s="655"/>
      <c r="E314" s="655"/>
      <c r="F314" s="655"/>
      <c r="G314" s="655"/>
      <c r="H314" s="655"/>
      <c r="I314" s="655"/>
      <c r="J314" s="655"/>
      <c r="K314" s="655"/>
      <c r="L314" s="289"/>
      <c r="M314" s="72"/>
      <c r="N314" s="30"/>
      <c r="O314" s="31">
        <f>+J314-'[1]вересень (2)'!J290</f>
        <v>0</v>
      </c>
      <c r="P314" s="466"/>
      <c r="Q314" s="5">
        <f>+K314-'[1]вересень (2)'!K292</f>
        <v>0</v>
      </c>
      <c r="R314" s="5"/>
      <c r="AA314" s="5"/>
      <c r="AB314" s="5"/>
      <c r="AC314" s="5"/>
      <c r="AD314" s="5"/>
      <c r="AE314" s="207">
        <f>+J314-'[1]26.06. +спорт+днз№15'!J313</f>
        <v>0</v>
      </c>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row>
    <row r="315" spans="1:69" ht="357" customHeight="1" x14ac:dyDescent="0.45">
      <c r="A315" s="467">
        <v>14</v>
      </c>
      <c r="B315" s="256" t="s">
        <v>552</v>
      </c>
      <c r="C315" s="257" t="s">
        <v>553</v>
      </c>
      <c r="D315" s="24" t="s">
        <v>18</v>
      </c>
      <c r="E315" s="36" t="s">
        <v>19</v>
      </c>
      <c r="F315" s="49" t="s">
        <v>67</v>
      </c>
      <c r="G315" s="468">
        <v>0</v>
      </c>
      <c r="H315" s="351">
        <v>0</v>
      </c>
      <c r="I315" s="351">
        <v>0</v>
      </c>
      <c r="J315" s="351">
        <v>0</v>
      </c>
      <c r="K315" s="351">
        <v>0</v>
      </c>
      <c r="L315" s="469" t="s">
        <v>554</v>
      </c>
      <c r="M315" s="113"/>
      <c r="N315" s="113"/>
      <c r="O315" s="31">
        <f>+J315-'[1]вересень (2)'!J291</f>
        <v>0</v>
      </c>
      <c r="P315" s="466"/>
      <c r="Q315" s="5">
        <f>+K315-'[1]вересень (2)'!K293</f>
        <v>0</v>
      </c>
      <c r="R315" s="5"/>
      <c r="AA315" s="5"/>
      <c r="AB315" s="5"/>
      <c r="AC315" s="5"/>
      <c r="AD315" s="5"/>
      <c r="AE315" s="207">
        <f>+J315-'[1]26.06. +спорт+днз№15'!J314</f>
        <v>0</v>
      </c>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row>
    <row r="316" spans="1:69" ht="239.25" customHeight="1" x14ac:dyDescent="0.45">
      <c r="A316" s="124"/>
      <c r="B316" s="256"/>
      <c r="C316" s="256" t="s">
        <v>555</v>
      </c>
      <c r="D316" s="132" t="s">
        <v>18</v>
      </c>
      <c r="E316" s="132" t="s">
        <v>19</v>
      </c>
      <c r="F316" s="65" t="s">
        <v>67</v>
      </c>
      <c r="G316" s="154">
        <v>0</v>
      </c>
      <c r="H316" s="154">
        <v>0</v>
      </c>
      <c r="I316" s="154">
        <v>0</v>
      </c>
      <c r="J316" s="154">
        <v>0</v>
      </c>
      <c r="K316" s="154">
        <v>0</v>
      </c>
      <c r="L316" s="112" t="s">
        <v>556</v>
      </c>
      <c r="M316" s="113"/>
      <c r="N316" s="113"/>
      <c r="O316" s="31">
        <f>+J316-'[1]вересень (2)'!J292</f>
        <v>0</v>
      </c>
      <c r="P316" s="466"/>
      <c r="Q316" s="5">
        <f>+K316-'[1]вересень (2)'!K294</f>
        <v>0</v>
      </c>
      <c r="R316" s="5"/>
      <c r="AA316" s="5"/>
      <c r="AB316" s="5"/>
      <c r="AC316" s="5"/>
      <c r="AD316" s="5"/>
      <c r="AE316" s="207">
        <f>+J316-'[1]26.06. +спорт+днз№15'!J315</f>
        <v>0</v>
      </c>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row>
    <row r="317" spans="1:69" ht="375.75" customHeight="1" x14ac:dyDescent="0.45">
      <c r="A317" s="467"/>
      <c r="B317" s="253"/>
      <c r="C317" s="253" t="s">
        <v>557</v>
      </c>
      <c r="D317" s="67" t="s">
        <v>18</v>
      </c>
      <c r="E317" s="67" t="s">
        <v>19</v>
      </c>
      <c r="F317" s="65" t="s">
        <v>67</v>
      </c>
      <c r="G317" s="157">
        <v>0</v>
      </c>
      <c r="H317" s="157">
        <v>0</v>
      </c>
      <c r="I317" s="157">
        <v>0</v>
      </c>
      <c r="J317" s="157">
        <v>0</v>
      </c>
      <c r="K317" s="432">
        <v>0</v>
      </c>
      <c r="L317" s="470" t="s">
        <v>558</v>
      </c>
      <c r="M317" s="471"/>
      <c r="N317" s="113"/>
      <c r="O317" s="31">
        <f>+J317-'[1]вересень (2)'!J293</f>
        <v>0</v>
      </c>
      <c r="P317" s="466"/>
      <c r="Q317" s="5">
        <f>+K317-'[1]вересень (2)'!K295</f>
        <v>0</v>
      </c>
      <c r="R317" s="5"/>
      <c r="AA317" s="5"/>
      <c r="AB317" s="5"/>
      <c r="AC317" s="5"/>
      <c r="AD317" s="5"/>
      <c r="AE317" s="207">
        <f>+J317-'[1]26.06. +спорт+днз№15'!J316</f>
        <v>0</v>
      </c>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row>
    <row r="318" spans="1:69" ht="276.75" x14ac:dyDescent="0.45">
      <c r="A318" s="124"/>
      <c r="B318" s="256"/>
      <c r="C318" s="256" t="s">
        <v>559</v>
      </c>
      <c r="D318" s="121" t="s">
        <v>18</v>
      </c>
      <c r="E318" s="121" t="s">
        <v>19</v>
      </c>
      <c r="F318" s="172" t="s">
        <v>67</v>
      </c>
      <c r="G318" s="198">
        <v>0</v>
      </c>
      <c r="H318" s="198">
        <v>0</v>
      </c>
      <c r="I318" s="198">
        <v>0</v>
      </c>
      <c r="J318" s="198">
        <v>0</v>
      </c>
      <c r="K318" s="198">
        <v>0</v>
      </c>
      <c r="L318" s="472" t="s">
        <v>560</v>
      </c>
      <c r="M318" s="113"/>
      <c r="N318" s="113"/>
      <c r="O318" s="31">
        <f>+J318-'[1]вересень (2)'!J294</f>
        <v>0</v>
      </c>
      <c r="P318" s="466"/>
      <c r="Q318" s="5">
        <f>+K318-'[1]вересень (2)'!K296</f>
        <v>0</v>
      </c>
      <c r="R318" s="5"/>
      <c r="AA318" s="5"/>
      <c r="AB318" s="5"/>
      <c r="AC318" s="5"/>
      <c r="AD318" s="5"/>
      <c r="AE318" s="207">
        <f>+J318-'[1]26.06. +спорт+днз№15'!J317</f>
        <v>0</v>
      </c>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row>
    <row r="319" spans="1:69" ht="276.75" x14ac:dyDescent="0.45">
      <c r="A319" s="33"/>
      <c r="B319" s="253"/>
      <c r="C319" s="473" t="s">
        <v>561</v>
      </c>
      <c r="D319" s="139" t="s">
        <v>18</v>
      </c>
      <c r="E319" s="139" t="s">
        <v>19</v>
      </c>
      <c r="F319" s="294" t="s">
        <v>67</v>
      </c>
      <c r="G319" s="160">
        <v>0</v>
      </c>
      <c r="H319" s="160">
        <v>0</v>
      </c>
      <c r="I319" s="160">
        <v>0</v>
      </c>
      <c r="J319" s="160">
        <v>0</v>
      </c>
      <c r="K319" s="433">
        <v>0</v>
      </c>
      <c r="L319" s="177" t="s">
        <v>562</v>
      </c>
      <c r="M319" s="113"/>
      <c r="N319" s="113"/>
      <c r="O319" s="31">
        <f>+J319-'[1]вересень (2)'!J295</f>
        <v>0</v>
      </c>
      <c r="P319" s="466"/>
      <c r="Q319" s="5">
        <f>+K319-'[1]вересень (2)'!K297</f>
        <v>0</v>
      </c>
      <c r="R319" s="5"/>
      <c r="AA319" s="5"/>
      <c r="AB319" s="5"/>
      <c r="AC319" s="5"/>
      <c r="AD319" s="5"/>
      <c r="AE319" s="207">
        <f>+J319-'[1]26.06. +спорт+днз№15'!J318</f>
        <v>0</v>
      </c>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row>
    <row r="320" spans="1:69" ht="307.5" x14ac:dyDescent="0.45">
      <c r="A320" s="33"/>
      <c r="B320" s="256"/>
      <c r="C320" s="125" t="s">
        <v>563</v>
      </c>
      <c r="D320" s="24" t="s">
        <v>18</v>
      </c>
      <c r="E320" s="24" t="s">
        <v>19</v>
      </c>
      <c r="F320" s="294" t="s">
        <v>67</v>
      </c>
      <c r="G320" s="351">
        <v>0</v>
      </c>
      <c r="H320" s="351">
        <v>0</v>
      </c>
      <c r="I320" s="351">
        <v>0</v>
      </c>
      <c r="J320" s="351">
        <v>0</v>
      </c>
      <c r="K320" s="351">
        <v>0</v>
      </c>
      <c r="L320" s="474" t="s">
        <v>564</v>
      </c>
      <c r="M320" s="113"/>
      <c r="N320" s="113"/>
      <c r="O320" s="31">
        <f>+J320-'[1]вересень (2)'!J296</f>
        <v>0</v>
      </c>
      <c r="P320" s="466"/>
      <c r="Q320" s="5">
        <f>+K320-'[1]вересень (2)'!K298</f>
        <v>0</v>
      </c>
      <c r="R320" s="5"/>
      <c r="AA320" s="5"/>
      <c r="AB320" s="5"/>
      <c r="AC320" s="5"/>
      <c r="AD320" s="5"/>
      <c r="AE320" s="207">
        <f>+J320-'[1]26.06. +спорт+днз№15'!J319</f>
        <v>0</v>
      </c>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row>
    <row r="321" spans="1:239" ht="116.25" customHeight="1" x14ac:dyDescent="0.45">
      <c r="A321" s="124"/>
      <c r="B321" s="237"/>
      <c r="C321" s="256" t="s">
        <v>565</v>
      </c>
      <c r="D321" s="132" t="s">
        <v>18</v>
      </c>
      <c r="E321" s="132" t="s">
        <v>19</v>
      </c>
      <c r="F321" s="65" t="s">
        <v>67</v>
      </c>
      <c r="G321" s="154">
        <v>0</v>
      </c>
      <c r="H321" s="154">
        <v>0</v>
      </c>
      <c r="I321" s="154">
        <v>0</v>
      </c>
      <c r="J321" s="154">
        <v>0</v>
      </c>
      <c r="K321" s="154">
        <v>0</v>
      </c>
      <c r="L321" s="475" t="s">
        <v>566</v>
      </c>
      <c r="M321" s="471"/>
      <c r="N321" s="113"/>
      <c r="O321" s="31">
        <f>+J321-'[1]вересень (2)'!J297</f>
        <v>0</v>
      </c>
      <c r="P321" s="466"/>
      <c r="Q321" s="5"/>
      <c r="R321" s="5"/>
      <c r="AA321" s="5"/>
      <c r="AB321" s="5"/>
      <c r="AC321" s="5"/>
      <c r="AD321" s="5"/>
      <c r="AE321" s="207">
        <f>+J321-'[1]26.06. +спорт+днз№15'!J320</f>
        <v>0</v>
      </c>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row>
    <row r="322" spans="1:239" ht="236.25" customHeight="1" x14ac:dyDescent="0.45">
      <c r="A322" s="604"/>
      <c r="B322" s="476"/>
      <c r="C322" s="253" t="s">
        <v>567</v>
      </c>
      <c r="D322" s="67" t="s">
        <v>18</v>
      </c>
      <c r="E322" s="67" t="s">
        <v>19</v>
      </c>
      <c r="F322" s="65" t="s">
        <v>67</v>
      </c>
      <c r="G322" s="157">
        <v>0</v>
      </c>
      <c r="H322" s="157">
        <v>0</v>
      </c>
      <c r="I322" s="157">
        <v>0</v>
      </c>
      <c r="J322" s="157">
        <v>0</v>
      </c>
      <c r="K322" s="157">
        <v>0</v>
      </c>
      <c r="L322" s="477" t="s">
        <v>568</v>
      </c>
      <c r="M322" s="189"/>
      <c r="N322" s="113"/>
      <c r="O322" s="31">
        <f>+J322-'[1]вересень (2)'!J298</f>
        <v>0</v>
      </c>
      <c r="P322" s="466"/>
      <c r="Q322" s="5"/>
      <c r="R322" s="5"/>
      <c r="AA322" s="5"/>
      <c r="AB322" s="5"/>
      <c r="AC322" s="5"/>
      <c r="AD322" s="5"/>
      <c r="AE322" s="207">
        <f>+J322-'[1]26.06. +спорт+днз№15'!J321</f>
        <v>0</v>
      </c>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row>
    <row r="323" spans="1:239" ht="185.25" customHeight="1" x14ac:dyDescent="0.45">
      <c r="A323" s="579"/>
      <c r="B323" s="237"/>
      <c r="C323" s="254" t="s">
        <v>569</v>
      </c>
      <c r="D323" s="139" t="s">
        <v>18</v>
      </c>
      <c r="E323" s="139" t="s">
        <v>19</v>
      </c>
      <c r="F323" s="294" t="s">
        <v>67</v>
      </c>
      <c r="G323" s="160">
        <v>0</v>
      </c>
      <c r="H323" s="160">
        <v>0</v>
      </c>
      <c r="I323" s="160">
        <v>0</v>
      </c>
      <c r="J323" s="160">
        <v>0</v>
      </c>
      <c r="K323" s="433">
        <v>0</v>
      </c>
      <c r="L323" s="177" t="s">
        <v>570</v>
      </c>
      <c r="M323" s="113"/>
      <c r="N323" s="113"/>
      <c r="O323" s="31">
        <f>+J323-'[1]вересень (2)'!J299</f>
        <v>0</v>
      </c>
      <c r="P323" s="466"/>
      <c r="Q323" s="5"/>
      <c r="R323" s="5"/>
      <c r="AA323" s="5"/>
      <c r="AB323" s="5"/>
      <c r="AC323" s="5"/>
      <c r="AD323" s="5"/>
      <c r="AE323" s="207">
        <f>+J323-'[1]26.06. +спорт+днз№15'!J322</f>
        <v>0</v>
      </c>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row>
    <row r="324" spans="1:239" ht="180" customHeight="1" x14ac:dyDescent="0.45">
      <c r="A324" s="33"/>
      <c r="B324" s="237"/>
      <c r="C324" s="257" t="s">
        <v>571</v>
      </c>
      <c r="D324" s="24" t="s">
        <v>18</v>
      </c>
      <c r="E324" s="24" t="s">
        <v>19</v>
      </c>
      <c r="F324" s="294" t="s">
        <v>67</v>
      </c>
      <c r="G324" s="351">
        <v>0</v>
      </c>
      <c r="H324" s="351">
        <v>0</v>
      </c>
      <c r="I324" s="351">
        <v>0</v>
      </c>
      <c r="J324" s="351">
        <v>0</v>
      </c>
      <c r="K324" s="351">
        <v>0</v>
      </c>
      <c r="L324" s="474" t="s">
        <v>572</v>
      </c>
      <c r="M324" s="113"/>
      <c r="N324" s="113"/>
      <c r="O324" s="31">
        <f>+J324-'[1]вересень (2)'!J300</f>
        <v>0</v>
      </c>
      <c r="P324" s="466"/>
      <c r="Q324" s="5"/>
      <c r="R324" s="5"/>
      <c r="AA324" s="5"/>
      <c r="AB324" s="5"/>
      <c r="AC324" s="5"/>
      <c r="AD324" s="5"/>
      <c r="AE324" s="207">
        <f>+J324-'[1]26.06. +спорт+днз№15'!J323</f>
        <v>0</v>
      </c>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row>
    <row r="325" spans="1:239" ht="45.75" customHeight="1" x14ac:dyDescent="0.45">
      <c r="A325" s="467"/>
      <c r="B325" s="478"/>
      <c r="C325" s="479" t="s">
        <v>63</v>
      </c>
      <c r="D325" s="480"/>
      <c r="E325" s="480"/>
      <c r="F325" s="480"/>
      <c r="G325" s="481">
        <v>0</v>
      </c>
      <c r="H325" s="481">
        <v>0</v>
      </c>
      <c r="I325" s="481">
        <v>0</v>
      </c>
      <c r="J325" s="481">
        <v>0</v>
      </c>
      <c r="K325" s="481">
        <v>0</v>
      </c>
      <c r="L325" s="482"/>
      <c r="M325" s="72"/>
      <c r="N325" s="30"/>
      <c r="O325" s="31">
        <f>+J325-'[1]вересень (2)'!J301</f>
        <v>0</v>
      </c>
      <c r="P325" s="466"/>
      <c r="Q325" s="5"/>
      <c r="R325" s="5"/>
      <c r="AA325" s="5"/>
      <c r="AB325" s="5"/>
      <c r="AC325" s="5"/>
      <c r="AD325" s="5"/>
      <c r="AE325" s="207">
        <f>+J325-'[1]26.06. +спорт+днз№15'!J324</f>
        <v>0</v>
      </c>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c r="BI325" s="5"/>
      <c r="BJ325" s="5"/>
      <c r="BK325" s="5"/>
      <c r="BL325" s="5"/>
      <c r="BM325" s="5"/>
      <c r="BN325" s="5"/>
      <c r="BO325" s="5"/>
      <c r="BP325" s="5"/>
      <c r="BQ325" s="5"/>
    </row>
    <row r="326" spans="1:239" ht="45.75" customHeight="1" x14ac:dyDescent="0.45">
      <c r="A326" s="663" t="s">
        <v>573</v>
      </c>
      <c r="B326" s="664"/>
      <c r="C326" s="664"/>
      <c r="D326" s="664"/>
      <c r="E326" s="664"/>
      <c r="F326" s="664"/>
      <c r="G326" s="664"/>
      <c r="H326" s="664"/>
      <c r="I326" s="664"/>
      <c r="J326" s="664"/>
      <c r="K326" s="664"/>
      <c r="L326" s="665"/>
      <c r="M326" s="483"/>
      <c r="N326" s="484"/>
      <c r="O326" s="31">
        <f>+J326-'[1]вересень (2)'!J302</f>
        <v>0</v>
      </c>
      <c r="P326" s="466"/>
      <c r="Q326" s="5"/>
      <c r="R326" s="5"/>
      <c r="AA326" s="5"/>
      <c r="AB326" s="5"/>
      <c r="AC326" s="5"/>
      <c r="AD326" s="5"/>
      <c r="AE326" s="207">
        <f>+J326-'[1]26.06. +спорт+днз№15'!J325</f>
        <v>0</v>
      </c>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row>
    <row r="327" spans="1:239" ht="262.5" customHeight="1" x14ac:dyDescent="0.45">
      <c r="A327" s="666">
        <v>15</v>
      </c>
      <c r="B327" s="48" t="s">
        <v>574</v>
      </c>
      <c r="C327" s="46" t="s">
        <v>575</v>
      </c>
      <c r="D327" s="174" t="s">
        <v>10</v>
      </c>
      <c r="E327" s="46" t="s">
        <v>19</v>
      </c>
      <c r="F327" s="174" t="s">
        <v>576</v>
      </c>
      <c r="G327" s="38">
        <v>2100</v>
      </c>
      <c r="H327" s="174">
        <v>0</v>
      </c>
      <c r="I327" s="37">
        <v>0</v>
      </c>
      <c r="J327" s="37">
        <v>0</v>
      </c>
      <c r="K327" s="37">
        <v>0</v>
      </c>
      <c r="L327" s="52" t="s">
        <v>577</v>
      </c>
      <c r="M327" s="72"/>
      <c r="N327" s="30"/>
      <c r="O327" s="31">
        <f>+J327-'[1]вересень (2)'!J303</f>
        <v>0</v>
      </c>
      <c r="P327" s="466"/>
      <c r="Q327" s="5"/>
      <c r="R327" s="5"/>
      <c r="AA327" s="5"/>
      <c r="AB327" s="5"/>
      <c r="AC327" s="5"/>
      <c r="AD327" s="5"/>
      <c r="AE327" s="207">
        <f>+J327-'[1]26.06. +спорт+днз№15'!J326</f>
        <v>0</v>
      </c>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row>
    <row r="328" spans="1:239" ht="200.25" customHeight="1" x14ac:dyDescent="0.45">
      <c r="A328" s="666"/>
      <c r="B328" s="48"/>
      <c r="C328" s="49" t="s">
        <v>578</v>
      </c>
      <c r="D328" s="174" t="s">
        <v>10</v>
      </c>
      <c r="E328" s="46" t="s">
        <v>19</v>
      </c>
      <c r="F328" s="174" t="s">
        <v>576</v>
      </c>
      <c r="G328" s="38">
        <v>1407</v>
      </c>
      <c r="H328" s="174">
        <v>0</v>
      </c>
      <c r="I328" s="37">
        <v>0</v>
      </c>
      <c r="J328" s="37">
        <v>0</v>
      </c>
      <c r="K328" s="37">
        <v>0</v>
      </c>
      <c r="L328" s="40" t="s">
        <v>579</v>
      </c>
      <c r="M328" s="30"/>
      <c r="N328" s="30"/>
      <c r="O328" s="31">
        <f>+J328-'[1]вересень (2)'!J304</f>
        <v>0</v>
      </c>
      <c r="P328" s="466"/>
      <c r="Q328" s="5"/>
      <c r="R328" s="5"/>
      <c r="S328" s="5"/>
      <c r="T328" s="5"/>
      <c r="U328" s="5"/>
      <c r="V328" s="5"/>
      <c r="W328" s="5"/>
      <c r="X328" s="5"/>
      <c r="Y328" s="5"/>
      <c r="Z328" s="5"/>
      <c r="AA328" s="5"/>
      <c r="AB328" s="5"/>
      <c r="AC328" s="5"/>
      <c r="AD328" s="5"/>
      <c r="AE328" s="207">
        <f>+J328-'[1]26.06. +спорт+днз№15'!J327</f>
        <v>0</v>
      </c>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ht="129" customHeight="1" x14ac:dyDescent="0.45">
      <c r="A329" s="485"/>
      <c r="B329" s="48"/>
      <c r="C329" s="49" t="s">
        <v>580</v>
      </c>
      <c r="D329" s="174" t="s">
        <v>13</v>
      </c>
      <c r="E329" s="46" t="s">
        <v>19</v>
      </c>
      <c r="F329" s="174" t="s">
        <v>576</v>
      </c>
      <c r="G329" s="38">
        <v>0</v>
      </c>
      <c r="H329" s="174">
        <v>0</v>
      </c>
      <c r="I329" s="174">
        <v>0</v>
      </c>
      <c r="J329" s="37">
        <v>300</v>
      </c>
      <c r="K329" s="37"/>
      <c r="L329" s="40" t="s">
        <v>581</v>
      </c>
      <c r="M329" s="30"/>
      <c r="N329" s="30"/>
      <c r="O329" s="31"/>
      <c r="P329" s="466"/>
      <c r="Q329" s="5"/>
      <c r="R329" s="5"/>
      <c r="S329" s="5"/>
      <c r="T329" s="5"/>
      <c r="U329" s="5"/>
      <c r="V329" s="5"/>
      <c r="W329" s="5"/>
      <c r="X329" s="5"/>
      <c r="Y329" s="5"/>
      <c r="Z329" s="5"/>
      <c r="AA329" s="5"/>
      <c r="AB329" s="5"/>
      <c r="AC329" s="5"/>
      <c r="AD329" s="5"/>
      <c r="AE329" s="207">
        <f>+J329</f>
        <v>300</v>
      </c>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ht="132.75" customHeight="1" x14ac:dyDescent="0.45">
      <c r="A330" s="485"/>
      <c r="B330" s="48"/>
      <c r="C330" s="49" t="s">
        <v>582</v>
      </c>
      <c r="D330" s="174" t="s">
        <v>13</v>
      </c>
      <c r="E330" s="46" t="s">
        <v>19</v>
      </c>
      <c r="F330" s="174" t="s">
        <v>576</v>
      </c>
      <c r="G330" s="38">
        <v>0</v>
      </c>
      <c r="H330" s="174">
        <v>0</v>
      </c>
      <c r="I330" s="174">
        <v>0</v>
      </c>
      <c r="J330" s="37">
        <v>270</v>
      </c>
      <c r="K330" s="37"/>
      <c r="L330" s="40" t="s">
        <v>581</v>
      </c>
      <c r="M330" s="30"/>
      <c r="N330" s="30"/>
      <c r="O330" s="31"/>
      <c r="P330" s="466"/>
      <c r="Q330" s="5"/>
      <c r="R330" s="5"/>
      <c r="S330" s="5"/>
      <c r="T330" s="5"/>
      <c r="U330" s="5"/>
      <c r="V330" s="5"/>
      <c r="W330" s="5"/>
      <c r="X330" s="5"/>
      <c r="Y330" s="5"/>
      <c r="Z330" s="5"/>
      <c r="AA330" s="5"/>
      <c r="AB330" s="5"/>
      <c r="AC330" s="5"/>
      <c r="AD330" s="5"/>
      <c r="AE330" s="207">
        <f>+J330</f>
        <v>270</v>
      </c>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ht="132.75" customHeight="1" x14ac:dyDescent="0.45">
      <c r="A331" s="485"/>
      <c r="B331" s="48"/>
      <c r="C331" s="49" t="s">
        <v>583</v>
      </c>
      <c r="D331" s="174" t="s">
        <v>13</v>
      </c>
      <c r="E331" s="46" t="s">
        <v>19</v>
      </c>
      <c r="F331" s="174" t="s">
        <v>576</v>
      </c>
      <c r="G331" s="38">
        <v>0</v>
      </c>
      <c r="H331" s="174">
        <v>0</v>
      </c>
      <c r="I331" s="174">
        <v>0</v>
      </c>
      <c r="J331" s="37">
        <v>4672.6000000000004</v>
      </c>
      <c r="K331" s="37"/>
      <c r="L331" s="40" t="s">
        <v>584</v>
      </c>
      <c r="M331" s="30"/>
      <c r="N331" s="30"/>
      <c r="O331" s="31"/>
      <c r="P331" s="466"/>
      <c r="Q331" s="5"/>
      <c r="R331" s="5"/>
      <c r="S331" s="5"/>
      <c r="T331" s="5"/>
      <c r="U331" s="5"/>
      <c r="V331" s="5"/>
      <c r="W331" s="5"/>
      <c r="X331" s="5"/>
      <c r="Y331" s="5"/>
      <c r="Z331" s="5"/>
      <c r="AA331" s="5"/>
      <c r="AB331" s="5"/>
      <c r="AC331" s="5"/>
      <c r="AD331" s="5"/>
      <c r="AE331" s="207"/>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ht="132.75" customHeight="1" x14ac:dyDescent="0.45">
      <c r="A332" s="485"/>
      <c r="B332" s="48"/>
      <c r="C332" s="486" t="s">
        <v>585</v>
      </c>
      <c r="D332" s="174" t="s">
        <v>13</v>
      </c>
      <c r="E332" s="46" t="s">
        <v>19</v>
      </c>
      <c r="F332" s="174" t="s">
        <v>576</v>
      </c>
      <c r="G332" s="38">
        <v>0</v>
      </c>
      <c r="H332" s="174">
        <v>0</v>
      </c>
      <c r="I332" s="174">
        <v>0</v>
      </c>
      <c r="J332" s="37">
        <v>275</v>
      </c>
      <c r="K332" s="37"/>
      <c r="L332" s="40" t="s">
        <v>586</v>
      </c>
      <c r="M332" s="30"/>
      <c r="N332" s="30"/>
      <c r="O332" s="31"/>
      <c r="P332" s="466"/>
      <c r="Q332" s="5"/>
      <c r="R332" s="5"/>
      <c r="S332" s="5"/>
      <c r="T332" s="5"/>
      <c r="U332" s="5"/>
      <c r="V332" s="5"/>
      <c r="W332" s="5"/>
      <c r="X332" s="5"/>
      <c r="Y332" s="5"/>
      <c r="Z332" s="5"/>
      <c r="AA332" s="5"/>
      <c r="AB332" s="5"/>
      <c r="AC332" s="5"/>
      <c r="AD332" s="5"/>
      <c r="AE332" s="207"/>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ht="132.75" customHeight="1" x14ac:dyDescent="0.45">
      <c r="A333" s="485"/>
      <c r="B333" s="48"/>
      <c r="C333" s="486" t="s">
        <v>587</v>
      </c>
      <c r="D333" s="174" t="s">
        <v>13</v>
      </c>
      <c r="E333" s="46" t="s">
        <v>19</v>
      </c>
      <c r="F333" s="174" t="s">
        <v>576</v>
      </c>
      <c r="G333" s="38">
        <v>0</v>
      </c>
      <c r="H333" s="174">
        <v>0</v>
      </c>
      <c r="I333" s="174">
        <v>0</v>
      </c>
      <c r="J333" s="37">
        <v>198</v>
      </c>
      <c r="K333" s="37"/>
      <c r="L333" s="40" t="s">
        <v>586</v>
      </c>
      <c r="M333" s="30"/>
      <c r="N333" s="30"/>
      <c r="O333" s="31"/>
      <c r="P333" s="466"/>
      <c r="Q333" s="5"/>
      <c r="R333" s="5"/>
      <c r="S333" s="5"/>
      <c r="T333" s="5"/>
      <c r="U333" s="5"/>
      <c r="V333" s="5"/>
      <c r="W333" s="5"/>
      <c r="X333" s="5"/>
      <c r="Y333" s="5"/>
      <c r="Z333" s="5"/>
      <c r="AA333" s="5"/>
      <c r="AB333" s="5"/>
      <c r="AC333" s="5"/>
      <c r="AD333" s="5"/>
      <c r="AE333" s="207"/>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c r="DT333" s="5"/>
      <c r="DU333" s="5"/>
      <c r="DV333" s="5"/>
      <c r="DW333" s="5"/>
      <c r="DX333" s="5"/>
      <c r="DY333" s="5"/>
      <c r="DZ333" s="5"/>
      <c r="EA333" s="5"/>
      <c r="EB333" s="5"/>
      <c r="EC333" s="5"/>
      <c r="ED333" s="5"/>
      <c r="EE333" s="5"/>
      <c r="EF333" s="5"/>
      <c r="EG333" s="5"/>
      <c r="EH333" s="5"/>
      <c r="EI333" s="5"/>
      <c r="EJ333" s="5"/>
      <c r="EK333" s="5"/>
      <c r="EL333" s="5"/>
      <c r="EM333" s="5"/>
      <c r="EN333" s="5"/>
      <c r="EO333" s="5"/>
      <c r="EP333" s="5"/>
      <c r="EQ333" s="5"/>
      <c r="ER333" s="5"/>
      <c r="ES333" s="5"/>
      <c r="ET333" s="5"/>
      <c r="EU333" s="5"/>
      <c r="EV333" s="5"/>
      <c r="EW333" s="5"/>
      <c r="EX333" s="5"/>
      <c r="EY333" s="5"/>
      <c r="EZ333" s="5"/>
      <c r="FA333" s="5"/>
      <c r="FB333" s="5"/>
      <c r="FC333" s="5"/>
      <c r="FD333" s="5"/>
      <c r="FE333" s="5"/>
      <c r="FF333" s="5"/>
      <c r="FG333" s="5"/>
      <c r="FH333" s="5"/>
      <c r="FI333" s="5"/>
      <c r="FJ333" s="5"/>
      <c r="FK333" s="5"/>
      <c r="FL333" s="5"/>
      <c r="FM333" s="5"/>
      <c r="FN333" s="5"/>
      <c r="FO333" s="5"/>
      <c r="FP333" s="5"/>
      <c r="FQ333" s="5"/>
      <c r="FR333" s="5"/>
      <c r="FS333" s="5"/>
      <c r="FT333" s="5"/>
      <c r="FU333" s="5"/>
      <c r="FV333" s="5"/>
      <c r="FW333" s="5"/>
      <c r="FX333" s="5"/>
      <c r="FY333" s="5"/>
      <c r="FZ333" s="5"/>
      <c r="GA333" s="5"/>
      <c r="GB333" s="5"/>
      <c r="GC333" s="5"/>
      <c r="GD333" s="5"/>
      <c r="GE333" s="5"/>
      <c r="GF333" s="5"/>
      <c r="GG333" s="5"/>
      <c r="GH333" s="5"/>
      <c r="GI333" s="5"/>
      <c r="GJ333" s="5"/>
      <c r="GK333" s="5"/>
      <c r="GL333" s="5"/>
      <c r="GM333" s="5"/>
      <c r="GN333" s="5"/>
      <c r="GO333" s="5"/>
      <c r="GP333" s="5"/>
      <c r="GQ333" s="5"/>
      <c r="GR333" s="5"/>
      <c r="GS333" s="5"/>
      <c r="GT333" s="5"/>
      <c r="GU333" s="5"/>
      <c r="GV333" s="5"/>
      <c r="GW333" s="5"/>
      <c r="GX333" s="5"/>
      <c r="GY333" s="5"/>
      <c r="GZ333" s="5"/>
      <c r="HA333" s="5"/>
      <c r="HB333" s="5"/>
      <c r="HC333" s="5"/>
      <c r="HD333" s="5"/>
      <c r="HE333" s="5"/>
      <c r="HF333" s="5"/>
      <c r="HG333" s="5"/>
      <c r="HH333" s="5"/>
      <c r="HI333" s="5"/>
      <c r="HJ333" s="5"/>
      <c r="HK333" s="5"/>
      <c r="HL333" s="5"/>
      <c r="HM333" s="5"/>
      <c r="HN333" s="5"/>
      <c r="HO333" s="5"/>
      <c r="HP333" s="5"/>
      <c r="HQ333" s="5"/>
      <c r="HR333" s="5"/>
      <c r="HS333" s="5"/>
      <c r="HT333" s="5"/>
      <c r="HU333" s="5"/>
      <c r="HV333" s="5"/>
      <c r="HW333" s="5"/>
      <c r="HX333" s="5"/>
      <c r="HY333" s="5"/>
      <c r="HZ333" s="5"/>
      <c r="IA333" s="5"/>
      <c r="IB333" s="5"/>
      <c r="IC333" s="5"/>
      <c r="ID333" s="5"/>
      <c r="IE333" s="5"/>
    </row>
    <row r="334" spans="1:239" ht="279" customHeight="1" x14ac:dyDescent="0.45">
      <c r="A334" s="485"/>
      <c r="B334" s="48" t="s">
        <v>588</v>
      </c>
      <c r="C334" s="49" t="s">
        <v>589</v>
      </c>
      <c r="D334" s="174" t="s">
        <v>12</v>
      </c>
      <c r="E334" s="46" t="s">
        <v>590</v>
      </c>
      <c r="F334" s="174" t="s">
        <v>591</v>
      </c>
      <c r="G334" s="38">
        <v>0</v>
      </c>
      <c r="H334" s="174">
        <v>0</v>
      </c>
      <c r="I334" s="37">
        <f>9331+780.2-500</f>
        <v>9611.2000000000007</v>
      </c>
      <c r="J334" s="37">
        <f>500+1035.7+26.7</f>
        <v>1562.4</v>
      </c>
      <c r="K334" s="37">
        <v>0</v>
      </c>
      <c r="L334" s="40" t="s">
        <v>592</v>
      </c>
      <c r="M334" s="30"/>
      <c r="N334" s="30"/>
      <c r="O334" s="31">
        <f>+J334-'[1]вересень (2)'!J305</f>
        <v>1562.4</v>
      </c>
      <c r="P334" s="466"/>
      <c r="Q334" s="5"/>
      <c r="R334" s="5"/>
      <c r="S334" s="5"/>
      <c r="T334" s="5"/>
      <c r="U334" s="5"/>
      <c r="V334" s="5"/>
      <c r="W334" s="5"/>
      <c r="X334" s="5"/>
      <c r="Y334" s="5"/>
      <c r="Z334" s="5"/>
      <c r="AA334" s="5"/>
      <c r="AB334" s="5"/>
      <c r="AC334" s="5"/>
      <c r="AD334" s="5"/>
      <c r="AE334" s="207"/>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5"/>
      <c r="EV334" s="5"/>
      <c r="EW334" s="5"/>
      <c r="EX334" s="5"/>
      <c r="EY334" s="5"/>
      <c r="EZ334" s="5"/>
      <c r="FA334" s="5"/>
      <c r="FB334" s="5"/>
      <c r="FC334" s="5"/>
      <c r="FD334" s="5"/>
      <c r="FE334" s="5"/>
      <c r="FF334" s="5"/>
      <c r="FG334" s="5"/>
      <c r="FH334" s="5"/>
      <c r="FI334" s="5"/>
      <c r="FJ334" s="5"/>
      <c r="FK334" s="5"/>
      <c r="FL334" s="5"/>
      <c r="FM334" s="5"/>
      <c r="FN334" s="5"/>
      <c r="FO334" s="5"/>
      <c r="FP334" s="5"/>
      <c r="FQ334" s="5"/>
      <c r="FR334" s="5"/>
      <c r="FS334" s="5"/>
      <c r="FT334" s="5"/>
      <c r="FU334" s="5"/>
      <c r="FV334" s="5"/>
      <c r="FW334" s="5"/>
      <c r="FX334" s="5"/>
      <c r="FY334" s="5"/>
      <c r="FZ334" s="5"/>
      <c r="GA334" s="5"/>
      <c r="GB334" s="5"/>
      <c r="GC334" s="5"/>
      <c r="GD334" s="5"/>
      <c r="GE334" s="5"/>
      <c r="GF334" s="5"/>
      <c r="GG334" s="5"/>
      <c r="GH334" s="5"/>
      <c r="GI334" s="5"/>
      <c r="GJ334" s="5"/>
      <c r="GK334" s="5"/>
      <c r="GL334" s="5"/>
      <c r="GM334" s="5"/>
      <c r="GN334" s="5"/>
      <c r="GO334" s="5"/>
      <c r="GP334" s="5"/>
      <c r="GQ334" s="5"/>
      <c r="GR334" s="5"/>
      <c r="GS334" s="5"/>
      <c r="GT334" s="5"/>
      <c r="GU334" s="5"/>
      <c r="GV334" s="5"/>
      <c r="GW334" s="5"/>
      <c r="GX334" s="5"/>
      <c r="GY334" s="5"/>
      <c r="GZ334" s="5"/>
      <c r="HA334" s="5"/>
      <c r="HB334" s="5"/>
      <c r="HC334" s="5"/>
      <c r="HD334" s="5"/>
      <c r="HE334" s="5"/>
      <c r="HF334" s="5"/>
      <c r="HG334" s="5"/>
      <c r="HH334" s="5"/>
      <c r="HI334" s="5"/>
      <c r="HJ334" s="5"/>
      <c r="HK334" s="5"/>
      <c r="HL334" s="5"/>
      <c r="HM334" s="5"/>
      <c r="HN334" s="5"/>
      <c r="HO334" s="5"/>
      <c r="HP334" s="5"/>
      <c r="HQ334" s="5"/>
      <c r="HR334" s="5"/>
      <c r="HS334" s="5"/>
      <c r="HT334" s="5"/>
      <c r="HU334" s="5"/>
      <c r="HV334" s="5"/>
      <c r="HW334" s="5"/>
      <c r="HX334" s="5"/>
      <c r="HY334" s="5"/>
      <c r="HZ334" s="5"/>
      <c r="IA334" s="5"/>
      <c r="IB334" s="5"/>
      <c r="IC334" s="5"/>
      <c r="ID334" s="5"/>
      <c r="IE334" s="5"/>
    </row>
    <row r="335" spans="1:239" ht="155.25" customHeight="1" x14ac:dyDescent="0.45">
      <c r="A335" s="666"/>
      <c r="B335" s="667" t="s">
        <v>593</v>
      </c>
      <c r="C335" s="668" t="s">
        <v>594</v>
      </c>
      <c r="D335" s="487" t="s">
        <v>12</v>
      </c>
      <c r="E335" s="631" t="s">
        <v>590</v>
      </c>
      <c r="F335" s="620" t="s">
        <v>595</v>
      </c>
      <c r="G335" s="670">
        <v>0</v>
      </c>
      <c r="H335" s="670">
        <v>0</v>
      </c>
      <c r="I335" s="675" t="s">
        <v>596</v>
      </c>
      <c r="J335" s="675" t="s">
        <v>597</v>
      </c>
      <c r="K335" s="677">
        <v>0</v>
      </c>
      <c r="L335" s="482" t="s">
        <v>598</v>
      </c>
      <c r="M335" s="30"/>
      <c r="N335" s="30"/>
      <c r="O335" s="31" t="e">
        <f>+J335-'[1]вересень (2)'!J306</f>
        <v>#VALUE!</v>
      </c>
      <c r="P335" s="466"/>
      <c r="Q335" s="5"/>
      <c r="R335" s="5"/>
      <c r="S335" s="5"/>
      <c r="T335" s="5"/>
      <c r="U335" s="5"/>
      <c r="V335" s="5"/>
      <c r="W335" s="5"/>
      <c r="X335" s="5"/>
      <c r="Y335" s="5"/>
      <c r="Z335" s="5"/>
      <c r="AA335" s="5"/>
      <c r="AB335" s="5"/>
      <c r="AC335" s="5"/>
      <c r="AD335" s="5"/>
      <c r="AE335" s="207"/>
      <c r="AF335" s="488"/>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c r="BI335" s="5"/>
      <c r="BJ335" s="5"/>
      <c r="BK335" s="5"/>
      <c r="BL335" s="5"/>
      <c r="BM335" s="5"/>
      <c r="BN335" s="5"/>
      <c r="BO335" s="5"/>
      <c r="BP335" s="5"/>
      <c r="BQ335" s="5"/>
      <c r="BR335" s="5"/>
      <c r="BS335" s="5"/>
      <c r="BT335" s="5"/>
      <c r="BU335" s="5"/>
      <c r="BV335" s="5"/>
      <c r="BW335" s="5"/>
      <c r="BX335" s="5"/>
      <c r="BY335" s="5"/>
      <c r="BZ335" s="5"/>
      <c r="CA335" s="5"/>
      <c r="CB335" s="5"/>
      <c r="CC335" s="5"/>
      <c r="CD335" s="5"/>
      <c r="CE335" s="5"/>
      <c r="CF335" s="5"/>
      <c r="CG335" s="5"/>
      <c r="CH335" s="5"/>
      <c r="CI335" s="5"/>
      <c r="CJ335" s="5"/>
      <c r="CK335" s="5"/>
      <c r="CL335" s="5"/>
      <c r="CM335" s="5"/>
      <c r="CN335" s="5"/>
      <c r="CO335" s="5"/>
      <c r="CP335" s="5"/>
      <c r="CQ335" s="5"/>
      <c r="CR335" s="5"/>
      <c r="CS335" s="5"/>
      <c r="CT335" s="5"/>
      <c r="CU335" s="5"/>
      <c r="CV335" s="5"/>
      <c r="CW335" s="5"/>
      <c r="CX335" s="5"/>
      <c r="CY335" s="5"/>
      <c r="CZ335" s="5"/>
      <c r="DA335" s="5"/>
      <c r="DB335" s="5"/>
      <c r="DC335" s="5"/>
      <c r="DD335" s="5"/>
      <c r="DE335" s="5"/>
      <c r="DF335" s="5"/>
      <c r="DG335" s="5"/>
      <c r="DH335" s="5"/>
      <c r="DI335" s="5"/>
      <c r="DJ335" s="5"/>
      <c r="DK335" s="5"/>
      <c r="DL335" s="5"/>
      <c r="DM335" s="5"/>
      <c r="DN335" s="5"/>
      <c r="DO335" s="5"/>
      <c r="DP335" s="5"/>
      <c r="DQ335" s="5"/>
      <c r="DR335" s="5"/>
      <c r="DS335" s="5"/>
      <c r="DT335" s="5"/>
      <c r="DU335" s="5"/>
      <c r="DV335" s="5"/>
      <c r="DW335" s="5"/>
      <c r="DX335" s="5"/>
      <c r="DY335" s="5"/>
      <c r="DZ335" s="5"/>
      <c r="EA335" s="5"/>
      <c r="EB335" s="5"/>
      <c r="EC335" s="5"/>
      <c r="ED335" s="5"/>
      <c r="EE335" s="5"/>
      <c r="EF335" s="5"/>
      <c r="EG335" s="5"/>
      <c r="EH335" s="5"/>
      <c r="EI335" s="5"/>
      <c r="EJ335" s="5"/>
      <c r="EK335" s="5"/>
      <c r="EL335" s="5"/>
      <c r="EM335" s="5"/>
      <c r="EN335" s="5"/>
      <c r="EO335" s="5"/>
      <c r="EP335" s="5"/>
      <c r="EQ335" s="5"/>
      <c r="ER335" s="5"/>
      <c r="ES335" s="5"/>
      <c r="ET335" s="5"/>
      <c r="EU335" s="5"/>
      <c r="EV335" s="5"/>
      <c r="EW335" s="5"/>
      <c r="EX335" s="5"/>
      <c r="EY335" s="5"/>
      <c r="EZ335" s="5"/>
      <c r="FA335" s="5"/>
      <c r="FB335" s="5"/>
      <c r="FC335" s="5"/>
      <c r="FD335" s="5"/>
      <c r="FE335" s="5"/>
      <c r="FF335" s="5"/>
      <c r="FG335" s="5"/>
      <c r="FH335" s="5"/>
      <c r="FI335" s="5"/>
      <c r="FJ335" s="5"/>
      <c r="FK335" s="5"/>
      <c r="FL335" s="5"/>
      <c r="FM335" s="5"/>
      <c r="FN335" s="5"/>
      <c r="FO335" s="5"/>
      <c r="FP335" s="5"/>
      <c r="FQ335" s="5"/>
      <c r="FR335" s="5"/>
      <c r="FS335" s="5"/>
      <c r="FT335" s="5"/>
      <c r="FU335" s="5"/>
      <c r="FV335" s="5"/>
      <c r="FW335" s="5"/>
      <c r="FX335" s="5"/>
      <c r="FY335" s="5"/>
      <c r="FZ335" s="5"/>
      <c r="GA335" s="5"/>
      <c r="GB335" s="5"/>
      <c r="GC335" s="5"/>
      <c r="GD335" s="5"/>
      <c r="GE335" s="5"/>
      <c r="GF335" s="5"/>
      <c r="GG335" s="5"/>
      <c r="GH335" s="5"/>
      <c r="GI335" s="5"/>
      <c r="GJ335" s="5"/>
      <c r="GK335" s="5"/>
      <c r="GL335" s="5"/>
      <c r="GM335" s="5"/>
      <c r="GN335" s="5"/>
      <c r="GO335" s="5"/>
      <c r="GP335" s="5"/>
      <c r="GQ335" s="5"/>
      <c r="GR335" s="5"/>
      <c r="GS335" s="5"/>
      <c r="GT335" s="5"/>
      <c r="GU335" s="5"/>
      <c r="GV335" s="5"/>
      <c r="GW335" s="5"/>
      <c r="GX335" s="5"/>
      <c r="GY335" s="5"/>
      <c r="GZ335" s="5"/>
      <c r="HA335" s="5"/>
      <c r="HB335" s="5"/>
      <c r="HC335" s="5"/>
      <c r="HD335" s="5"/>
      <c r="HE335" s="5"/>
      <c r="HF335" s="5"/>
      <c r="HG335" s="5"/>
      <c r="HH335" s="5"/>
      <c r="HI335" s="5"/>
      <c r="HJ335" s="5"/>
      <c r="HK335" s="5"/>
      <c r="HL335" s="5"/>
      <c r="HM335" s="5"/>
      <c r="HN335" s="5"/>
      <c r="HO335" s="5"/>
      <c r="HP335" s="5"/>
      <c r="HQ335" s="5"/>
      <c r="HR335" s="5"/>
      <c r="HS335" s="5"/>
      <c r="HT335" s="5"/>
      <c r="HU335" s="5"/>
      <c r="HV335" s="5"/>
      <c r="HW335" s="5"/>
      <c r="HX335" s="5"/>
      <c r="HY335" s="5"/>
      <c r="HZ335" s="5"/>
      <c r="IA335" s="5"/>
      <c r="IB335" s="5"/>
      <c r="IC335" s="5"/>
      <c r="ID335" s="5"/>
      <c r="IE335" s="5"/>
    </row>
    <row r="336" spans="1:239" ht="234.75" customHeight="1" x14ac:dyDescent="0.45">
      <c r="A336" s="666"/>
      <c r="B336" s="667"/>
      <c r="C336" s="669"/>
      <c r="D336" s="322"/>
      <c r="E336" s="632"/>
      <c r="F336" s="620"/>
      <c r="G336" s="670"/>
      <c r="H336" s="670"/>
      <c r="I336" s="676"/>
      <c r="J336" s="676"/>
      <c r="K336" s="677"/>
      <c r="L336" s="57" t="s">
        <v>599</v>
      </c>
      <c r="M336" s="30"/>
      <c r="N336" s="30"/>
      <c r="O336" s="31">
        <f>+J336-'[1]вересень (2)'!J307</f>
        <v>0</v>
      </c>
      <c r="P336" s="466"/>
      <c r="Q336" s="5"/>
      <c r="R336" s="5"/>
      <c r="S336" s="5"/>
      <c r="T336" s="5"/>
      <c r="U336" s="5"/>
      <c r="V336" s="5"/>
      <c r="W336" s="5"/>
      <c r="X336" s="5"/>
      <c r="Y336" s="5"/>
      <c r="Z336" s="5"/>
      <c r="AA336" s="5"/>
      <c r="AB336" s="5"/>
      <c r="AC336" s="5"/>
      <c r="AD336" s="5"/>
      <c r="AE336" s="207"/>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c r="BI336" s="5"/>
      <c r="BJ336" s="5"/>
      <c r="BK336" s="5"/>
      <c r="BL336" s="5"/>
      <c r="BM336" s="5"/>
      <c r="BN336" s="5"/>
      <c r="BO336" s="5"/>
      <c r="BP336" s="5"/>
      <c r="BQ336" s="5"/>
      <c r="BR336" s="5"/>
      <c r="BS336" s="5"/>
      <c r="BT336" s="5"/>
      <c r="BU336" s="5"/>
      <c r="BV336" s="5"/>
      <c r="BW336" s="5"/>
      <c r="BX336" s="5"/>
      <c r="BY336" s="5"/>
      <c r="BZ336" s="5"/>
      <c r="CA336" s="5"/>
      <c r="CB336" s="5"/>
      <c r="CC336" s="5"/>
      <c r="CD336" s="5"/>
      <c r="CE336" s="5"/>
      <c r="CF336" s="5"/>
      <c r="CG336" s="5"/>
      <c r="CH336" s="5"/>
      <c r="CI336" s="5"/>
      <c r="CJ336" s="5"/>
      <c r="CK336" s="5"/>
      <c r="CL336" s="5"/>
      <c r="CM336" s="5"/>
      <c r="CN336" s="5"/>
      <c r="CO336" s="5"/>
      <c r="CP336" s="5"/>
      <c r="CQ336" s="5"/>
      <c r="CR336" s="5"/>
      <c r="CS336" s="5"/>
      <c r="CT336" s="5"/>
      <c r="CU336" s="5"/>
      <c r="CV336" s="5"/>
      <c r="CW336" s="5"/>
      <c r="CX336" s="5"/>
      <c r="CY336" s="5"/>
      <c r="CZ336" s="5"/>
      <c r="DA336" s="5"/>
      <c r="DB336" s="5"/>
      <c r="DC336" s="5"/>
      <c r="DD336" s="5"/>
      <c r="DE336" s="5"/>
      <c r="DF336" s="5"/>
      <c r="DG336" s="5"/>
      <c r="DH336" s="5"/>
      <c r="DI336" s="5"/>
      <c r="DJ336" s="5"/>
      <c r="DK336" s="5"/>
      <c r="DL336" s="5"/>
      <c r="DM336" s="5"/>
      <c r="DN336" s="5"/>
      <c r="DO336" s="5"/>
      <c r="DP336" s="5"/>
      <c r="DQ336" s="5"/>
      <c r="DR336" s="5"/>
      <c r="DS336" s="5"/>
      <c r="DT336" s="5"/>
      <c r="DU336" s="5"/>
      <c r="DV336" s="5"/>
      <c r="DW336" s="5"/>
      <c r="DX336" s="5"/>
      <c r="DY336" s="5"/>
      <c r="DZ336" s="5"/>
      <c r="EA336" s="5"/>
      <c r="EB336" s="5"/>
      <c r="EC336" s="5"/>
      <c r="ED336" s="5"/>
      <c r="EE336" s="5"/>
      <c r="EF336" s="5"/>
      <c r="EG336" s="5"/>
      <c r="EH336" s="5"/>
      <c r="EI336" s="5"/>
      <c r="EJ336" s="5"/>
      <c r="EK336" s="5"/>
      <c r="EL336" s="5"/>
      <c r="EM336" s="5"/>
      <c r="EN336" s="5"/>
      <c r="EO336" s="5"/>
      <c r="EP336" s="5"/>
      <c r="EQ336" s="5"/>
      <c r="ER336" s="5"/>
      <c r="ES336" s="5"/>
      <c r="ET336" s="5"/>
      <c r="EU336" s="5"/>
      <c r="EV336" s="5"/>
      <c r="EW336" s="5"/>
      <c r="EX336" s="5"/>
      <c r="EY336" s="5"/>
      <c r="EZ336" s="5"/>
      <c r="FA336" s="5"/>
      <c r="FB336" s="5"/>
      <c r="FC336" s="5"/>
      <c r="FD336" s="5"/>
      <c r="FE336" s="5"/>
      <c r="FF336" s="5"/>
      <c r="FG336" s="5"/>
      <c r="FH336" s="5"/>
      <c r="FI336" s="5"/>
      <c r="FJ336" s="5"/>
      <c r="FK336" s="5"/>
      <c r="FL336" s="5"/>
      <c r="FM336" s="5"/>
      <c r="FN336" s="5"/>
      <c r="FO336" s="5"/>
      <c r="FP336" s="5"/>
      <c r="FQ336" s="5"/>
      <c r="FR336" s="5"/>
      <c r="FS336" s="5"/>
      <c r="FT336" s="5"/>
      <c r="FU336" s="5"/>
      <c r="FV336" s="5"/>
      <c r="FW336" s="5"/>
      <c r="FX336" s="5"/>
      <c r="FY336" s="5"/>
      <c r="FZ336" s="5"/>
      <c r="GA336" s="5"/>
      <c r="GB336" s="5"/>
      <c r="GC336" s="5"/>
      <c r="GD336" s="5"/>
      <c r="GE336" s="5"/>
      <c r="GF336" s="5"/>
      <c r="GG336" s="5"/>
      <c r="GH336" s="5"/>
      <c r="GI336" s="5"/>
      <c r="GJ336" s="5"/>
      <c r="GK336" s="5"/>
      <c r="GL336" s="5"/>
      <c r="GM336" s="5"/>
      <c r="GN336" s="5"/>
      <c r="GO336" s="5"/>
      <c r="GP336" s="5"/>
      <c r="GQ336" s="5"/>
      <c r="GR336" s="5"/>
      <c r="GS336" s="5"/>
      <c r="GT336" s="5"/>
      <c r="GU336" s="5"/>
      <c r="GV336" s="5"/>
      <c r="GW336" s="5"/>
      <c r="GX336" s="5"/>
      <c r="GY336" s="5"/>
      <c r="GZ336" s="5"/>
      <c r="HA336" s="5"/>
      <c r="HB336" s="5"/>
      <c r="HC336" s="5"/>
      <c r="HD336" s="5"/>
      <c r="HE336" s="5"/>
      <c r="HF336" s="5"/>
      <c r="HG336" s="5"/>
      <c r="HH336" s="5"/>
      <c r="HI336" s="5"/>
      <c r="HJ336" s="5"/>
      <c r="HK336" s="5"/>
      <c r="HL336" s="5"/>
      <c r="HM336" s="5"/>
      <c r="HN336" s="5"/>
      <c r="HO336" s="5"/>
      <c r="HP336" s="5"/>
      <c r="HQ336" s="5"/>
      <c r="HR336" s="5"/>
      <c r="HS336" s="5"/>
      <c r="HT336" s="5"/>
      <c r="HU336" s="5"/>
      <c r="HV336" s="5"/>
      <c r="HW336" s="5"/>
      <c r="HX336" s="5"/>
      <c r="HY336" s="5"/>
      <c r="HZ336" s="5"/>
      <c r="IA336" s="5"/>
      <c r="IB336" s="5"/>
      <c r="IC336" s="5"/>
      <c r="ID336" s="5"/>
      <c r="IE336" s="5"/>
    </row>
    <row r="337" spans="1:239" ht="179.25" customHeight="1" x14ac:dyDescent="0.45">
      <c r="A337" s="489"/>
      <c r="B337" s="490"/>
      <c r="C337" s="678" t="s">
        <v>600</v>
      </c>
      <c r="D337" s="322"/>
      <c r="E337" s="322"/>
      <c r="F337" s="174" t="s">
        <v>601</v>
      </c>
      <c r="G337" s="39">
        <v>0</v>
      </c>
      <c r="H337" s="39">
        <v>0</v>
      </c>
      <c r="I337" s="39">
        <v>2450</v>
      </c>
      <c r="J337" s="39">
        <v>0</v>
      </c>
      <c r="K337" s="491">
        <v>0</v>
      </c>
      <c r="L337" s="57"/>
      <c r="M337" s="30"/>
      <c r="N337" s="30"/>
      <c r="O337" s="31">
        <f>+J337-'[1]вересень (2)'!J308</f>
        <v>0</v>
      </c>
      <c r="P337" s="466"/>
      <c r="Q337" s="5"/>
      <c r="R337" s="5"/>
      <c r="S337" s="5"/>
      <c r="T337" s="5"/>
      <c r="U337" s="5"/>
      <c r="V337" s="5"/>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s="5"/>
      <c r="BI337" s="5"/>
      <c r="BJ337" s="5"/>
      <c r="BK337" s="5"/>
      <c r="BL337" s="5"/>
      <c r="BM337" s="5"/>
      <c r="BN337" s="5"/>
      <c r="BO337" s="5"/>
      <c r="BP337" s="5"/>
      <c r="BQ337" s="5"/>
      <c r="BR337" s="5"/>
      <c r="BS337" s="5"/>
      <c r="BT337" s="5"/>
      <c r="BU337" s="5"/>
      <c r="BV337" s="5"/>
      <c r="BW337" s="5"/>
      <c r="BX337" s="5"/>
      <c r="BY337" s="5"/>
      <c r="BZ337" s="5"/>
      <c r="CA337" s="5"/>
      <c r="CB337" s="5"/>
      <c r="CC337" s="5"/>
      <c r="CD337" s="5"/>
      <c r="CE337" s="5"/>
      <c r="CF337" s="5"/>
      <c r="CG337" s="5"/>
      <c r="CH337" s="5"/>
      <c r="CI337" s="5"/>
      <c r="CJ337" s="5"/>
      <c r="CK337" s="5"/>
      <c r="CL337" s="5"/>
      <c r="CM337" s="5"/>
      <c r="CN337" s="5"/>
      <c r="CO337" s="5"/>
      <c r="CP337" s="5"/>
      <c r="CQ337" s="5"/>
      <c r="CR337" s="5"/>
      <c r="CS337" s="5"/>
      <c r="CT337" s="5"/>
      <c r="CU337" s="5"/>
      <c r="CV337" s="5"/>
      <c r="CW337" s="5"/>
      <c r="CX337" s="5"/>
      <c r="CY337" s="5"/>
      <c r="CZ337" s="5"/>
      <c r="DA337" s="5"/>
      <c r="DB337" s="5"/>
      <c r="DC337" s="5"/>
      <c r="DD337" s="5"/>
      <c r="DE337" s="5"/>
      <c r="DF337" s="5"/>
      <c r="DG337" s="5"/>
      <c r="DH337" s="5"/>
      <c r="DI337" s="5"/>
      <c r="DJ337" s="5"/>
      <c r="DK337" s="5"/>
      <c r="DL337" s="5"/>
      <c r="DM337" s="5"/>
      <c r="DN337" s="5"/>
      <c r="DO337" s="5"/>
      <c r="DP337" s="5"/>
      <c r="DQ337" s="5"/>
      <c r="DR337" s="5"/>
      <c r="DS337" s="5"/>
      <c r="DT337" s="5"/>
      <c r="DU337" s="5"/>
      <c r="DV337" s="5"/>
      <c r="DW337" s="5"/>
      <c r="DX337" s="5"/>
      <c r="DY337" s="5"/>
      <c r="DZ337" s="5"/>
      <c r="EA337" s="5"/>
      <c r="EB337" s="5"/>
      <c r="EC337" s="5"/>
      <c r="ED337" s="5"/>
      <c r="EE337" s="5"/>
      <c r="EF337" s="5"/>
      <c r="EG337" s="5"/>
      <c r="EH337" s="5"/>
      <c r="EI337" s="5"/>
      <c r="EJ337" s="5"/>
      <c r="EK337" s="5"/>
      <c r="EL337" s="5"/>
      <c r="EM337" s="5"/>
      <c r="EN337" s="5"/>
      <c r="EO337" s="5"/>
      <c r="EP337" s="5"/>
      <c r="EQ337" s="5"/>
      <c r="ER337" s="5"/>
      <c r="ES337" s="5"/>
      <c r="ET337" s="5"/>
      <c r="EU337" s="5"/>
      <c r="EV337" s="5"/>
      <c r="EW337" s="5"/>
      <c r="EX337" s="5"/>
      <c r="EY337" s="5"/>
      <c r="EZ337" s="5"/>
      <c r="FA337" s="5"/>
      <c r="FB337" s="5"/>
      <c r="FC337" s="5"/>
      <c r="FD337" s="5"/>
      <c r="FE337" s="5"/>
      <c r="FF337" s="5"/>
      <c r="FG337" s="5"/>
      <c r="FH337" s="5"/>
      <c r="FI337" s="5"/>
      <c r="FJ337" s="5"/>
      <c r="FK337" s="5"/>
      <c r="FL337" s="5"/>
      <c r="FM337" s="5"/>
      <c r="FN337" s="5"/>
      <c r="FO337" s="5"/>
      <c r="FP337" s="5"/>
      <c r="FQ337" s="5"/>
      <c r="FR337" s="5"/>
      <c r="FS337" s="5"/>
      <c r="FT337" s="5"/>
      <c r="FU337" s="5"/>
      <c r="FV337" s="5"/>
      <c r="FW337" s="5"/>
      <c r="FX337" s="5"/>
      <c r="FY337" s="5"/>
      <c r="FZ337" s="5"/>
      <c r="GA337" s="5"/>
      <c r="GB337" s="5"/>
      <c r="GC337" s="5"/>
      <c r="GD337" s="5"/>
      <c r="GE337" s="5"/>
      <c r="GF337" s="5"/>
      <c r="GG337" s="5"/>
      <c r="GH337" s="5"/>
      <c r="GI337" s="5"/>
      <c r="GJ337" s="5"/>
      <c r="GK337" s="5"/>
      <c r="GL337" s="5"/>
      <c r="GM337" s="5"/>
      <c r="GN337" s="5"/>
      <c r="GO337" s="5"/>
      <c r="GP337" s="5"/>
      <c r="GQ337" s="5"/>
      <c r="GR337" s="5"/>
      <c r="GS337" s="5"/>
      <c r="GT337" s="5"/>
      <c r="GU337" s="5"/>
      <c r="GV337" s="5"/>
      <c r="GW337" s="5"/>
      <c r="GX337" s="5"/>
      <c r="GY337" s="5"/>
      <c r="GZ337" s="5"/>
      <c r="HA337" s="5"/>
      <c r="HB337" s="5"/>
      <c r="HC337" s="5"/>
      <c r="HD337" s="5"/>
      <c r="HE337" s="5"/>
      <c r="HF337" s="5"/>
      <c r="HG337" s="5"/>
      <c r="HH337" s="5"/>
      <c r="HI337" s="5"/>
      <c r="HJ337" s="5"/>
      <c r="HK337" s="5"/>
      <c r="HL337" s="5"/>
      <c r="HM337" s="5"/>
      <c r="HN337" s="5"/>
      <c r="HO337" s="5"/>
      <c r="HP337" s="5"/>
      <c r="HQ337" s="5"/>
      <c r="HR337" s="5"/>
      <c r="HS337" s="5"/>
      <c r="HT337" s="5"/>
      <c r="HU337" s="5"/>
      <c r="HV337" s="5"/>
      <c r="HW337" s="5"/>
      <c r="HX337" s="5"/>
      <c r="HY337" s="5"/>
      <c r="HZ337" s="5"/>
      <c r="IA337" s="5"/>
      <c r="IB337" s="5"/>
      <c r="IC337" s="5"/>
      <c r="ID337" s="5"/>
      <c r="IE337" s="5"/>
    </row>
    <row r="338" spans="1:239" ht="330" customHeight="1" x14ac:dyDescent="0.45">
      <c r="A338" s="485"/>
      <c r="B338" s="274"/>
      <c r="C338" s="679"/>
      <c r="D338" s="231"/>
      <c r="E338" s="231"/>
      <c r="F338" s="174" t="s">
        <v>602</v>
      </c>
      <c r="G338" s="39"/>
      <c r="H338" s="39"/>
      <c r="I338" s="217">
        <f>1800+338.17</f>
        <v>2138.17</v>
      </c>
      <c r="J338" s="39">
        <v>0</v>
      </c>
      <c r="K338" s="491"/>
      <c r="L338" s="61"/>
      <c r="M338" s="30"/>
      <c r="N338" s="30"/>
      <c r="O338" s="31">
        <f>+J338-'[1]вересень (2)'!J309</f>
        <v>0</v>
      </c>
      <c r="P338" s="466"/>
      <c r="Q338" s="5"/>
      <c r="R338" s="5"/>
      <c r="S338" s="5"/>
      <c r="T338" s="5"/>
      <c r="U338" s="5"/>
      <c r="V338" s="5"/>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s="5"/>
      <c r="BI338" s="5"/>
      <c r="BJ338" s="5"/>
      <c r="BK338" s="5"/>
      <c r="BL338" s="5"/>
      <c r="BM338" s="5"/>
      <c r="BN338" s="5"/>
      <c r="BO338" s="5"/>
      <c r="BP338" s="5"/>
      <c r="BQ338" s="5"/>
      <c r="BR338" s="5"/>
      <c r="BS338" s="5"/>
      <c r="BT338" s="5"/>
      <c r="BU338" s="5"/>
      <c r="BV338" s="5"/>
      <c r="BW338" s="5"/>
      <c r="BX338" s="5"/>
      <c r="BY338" s="5"/>
      <c r="BZ338" s="5"/>
      <c r="CA338" s="5"/>
      <c r="CB338" s="5"/>
      <c r="CC338" s="5"/>
      <c r="CD338" s="5"/>
      <c r="CE338" s="5"/>
      <c r="CF338" s="5"/>
      <c r="CG338" s="5"/>
      <c r="CH338" s="5"/>
      <c r="CI338" s="5"/>
      <c r="CJ338" s="5"/>
      <c r="CK338" s="5"/>
      <c r="CL338" s="5"/>
      <c r="CM338" s="5"/>
      <c r="CN338" s="5"/>
      <c r="CO338" s="5"/>
      <c r="CP338" s="5"/>
      <c r="CQ338" s="5"/>
      <c r="CR338" s="5"/>
      <c r="CS338" s="5"/>
      <c r="CT338" s="5"/>
      <c r="CU338" s="5"/>
      <c r="CV338" s="5"/>
      <c r="CW338" s="5"/>
      <c r="CX338" s="5"/>
      <c r="CY338" s="5"/>
      <c r="CZ338" s="5"/>
      <c r="DA338" s="5"/>
      <c r="DB338" s="5"/>
      <c r="DC338" s="5"/>
      <c r="DD338" s="5"/>
      <c r="DE338" s="5"/>
      <c r="DF338" s="5"/>
      <c r="DG338" s="5"/>
      <c r="DH338" s="5"/>
      <c r="DI338" s="5"/>
      <c r="DJ338" s="5"/>
      <c r="DK338" s="5"/>
      <c r="DL338" s="5"/>
      <c r="DM338" s="5"/>
      <c r="DN338" s="5"/>
      <c r="DO338" s="5"/>
      <c r="DP338" s="5"/>
      <c r="DQ338" s="5"/>
      <c r="DR338" s="5"/>
      <c r="DS338" s="5"/>
      <c r="DT338" s="5"/>
      <c r="DU338" s="5"/>
      <c r="DV338" s="5"/>
      <c r="DW338" s="5"/>
      <c r="DX338" s="5"/>
      <c r="DY338" s="5"/>
      <c r="DZ338" s="5"/>
      <c r="EA338" s="5"/>
      <c r="EB338" s="5"/>
      <c r="EC338" s="5"/>
      <c r="ED338" s="5"/>
      <c r="EE338" s="5"/>
      <c r="EF338" s="5"/>
      <c r="EG338" s="5"/>
      <c r="EH338" s="5"/>
      <c r="EI338" s="5"/>
      <c r="EJ338" s="5"/>
      <c r="EK338" s="5"/>
      <c r="EL338" s="5"/>
      <c r="EM338" s="5"/>
      <c r="EN338" s="5"/>
      <c r="EO338" s="5"/>
      <c r="EP338" s="5"/>
      <c r="EQ338" s="5"/>
      <c r="ER338" s="5"/>
      <c r="ES338" s="5"/>
      <c r="ET338" s="5"/>
      <c r="EU338" s="5"/>
      <c r="EV338" s="5"/>
      <c r="EW338" s="5"/>
      <c r="EX338" s="5"/>
      <c r="EY338" s="5"/>
      <c r="EZ338" s="5"/>
      <c r="FA338" s="5"/>
      <c r="FB338" s="5"/>
      <c r="FC338" s="5"/>
      <c r="FD338" s="5"/>
      <c r="FE338" s="5"/>
      <c r="FF338" s="5"/>
      <c r="FG338" s="5"/>
      <c r="FH338" s="5"/>
      <c r="FI338" s="5"/>
      <c r="FJ338" s="5"/>
      <c r="FK338" s="5"/>
      <c r="FL338" s="5"/>
      <c r="FM338" s="5"/>
      <c r="FN338" s="5"/>
      <c r="FO338" s="5"/>
      <c r="FP338" s="5"/>
      <c r="FQ338" s="5"/>
      <c r="FR338" s="5"/>
      <c r="FS338" s="5"/>
      <c r="FT338" s="5"/>
      <c r="FU338" s="5"/>
      <c r="FV338" s="5"/>
      <c r="FW338" s="5"/>
      <c r="FX338" s="5"/>
      <c r="FY338" s="5"/>
      <c r="FZ338" s="5"/>
      <c r="GA338" s="5"/>
      <c r="GB338" s="5"/>
      <c r="GC338" s="5"/>
      <c r="GD338" s="5"/>
      <c r="GE338" s="5"/>
      <c r="GF338" s="5"/>
      <c r="GG338" s="5"/>
      <c r="GH338" s="5"/>
      <c r="GI338" s="5"/>
      <c r="GJ338" s="5"/>
      <c r="GK338" s="5"/>
      <c r="GL338" s="5"/>
      <c r="GM338" s="5"/>
      <c r="GN338" s="5"/>
      <c r="GO338" s="5"/>
      <c r="GP338" s="5"/>
      <c r="GQ338" s="5"/>
      <c r="GR338" s="5"/>
      <c r="GS338" s="5"/>
      <c r="GT338" s="5"/>
      <c r="GU338" s="5"/>
      <c r="GV338" s="5"/>
      <c r="GW338" s="5"/>
      <c r="GX338" s="5"/>
      <c r="GY338" s="5"/>
      <c r="GZ338" s="5"/>
      <c r="HA338" s="5"/>
      <c r="HB338" s="5"/>
      <c r="HC338" s="5"/>
      <c r="HD338" s="5"/>
      <c r="HE338" s="5"/>
      <c r="HF338" s="5"/>
      <c r="HG338" s="5"/>
      <c r="HH338" s="5"/>
      <c r="HI338" s="5"/>
      <c r="HJ338" s="5"/>
      <c r="HK338" s="5"/>
      <c r="HL338" s="5"/>
      <c r="HM338" s="5"/>
      <c r="HN338" s="5"/>
      <c r="HO338" s="5"/>
      <c r="HP338" s="5"/>
      <c r="HQ338" s="5"/>
      <c r="HR338" s="5"/>
      <c r="HS338" s="5"/>
      <c r="HT338" s="5"/>
      <c r="HU338" s="5"/>
      <c r="HV338" s="5"/>
      <c r="HW338" s="5"/>
      <c r="HX338" s="5"/>
      <c r="HY338" s="5"/>
      <c r="HZ338" s="5"/>
      <c r="IA338" s="5"/>
      <c r="IB338" s="5"/>
      <c r="IC338" s="5"/>
      <c r="ID338" s="5"/>
      <c r="IE338" s="5"/>
    </row>
    <row r="339" spans="1:239" ht="166.5" customHeight="1" x14ac:dyDescent="0.45">
      <c r="A339" s="492"/>
      <c r="B339" s="493"/>
      <c r="C339" s="213" t="s">
        <v>603</v>
      </c>
      <c r="D339" s="322"/>
      <c r="E339" s="322"/>
      <c r="F339" s="632" t="s">
        <v>602</v>
      </c>
      <c r="G339" s="245">
        <v>0</v>
      </c>
      <c r="H339" s="245">
        <v>0</v>
      </c>
      <c r="I339" s="245">
        <f>10745-720</f>
        <v>10025</v>
      </c>
      <c r="J339" s="215">
        <v>969.73</v>
      </c>
      <c r="K339" s="494">
        <v>0</v>
      </c>
      <c r="L339" s="57"/>
      <c r="M339" s="30"/>
      <c r="N339" s="30"/>
      <c r="O339" s="31">
        <f>+J339-'[1]вересень (2)'!J310</f>
        <v>969.73</v>
      </c>
      <c r="P339" s="466"/>
      <c r="Q339" s="5"/>
      <c r="R339" s="5"/>
      <c r="S339" s="5"/>
      <c r="T339" s="5"/>
      <c r="U339" s="5"/>
      <c r="V339" s="5"/>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c r="BB339" s="5"/>
      <c r="BC339" s="5"/>
      <c r="BD339" s="5"/>
      <c r="BE339" s="5"/>
      <c r="BF339" s="5"/>
      <c r="BG339" s="5"/>
      <c r="BH339" s="5"/>
      <c r="BI339" s="5"/>
      <c r="BJ339" s="5"/>
      <c r="BK339" s="5"/>
      <c r="BL339" s="5"/>
      <c r="BM339" s="5"/>
      <c r="BN339" s="5"/>
      <c r="BO339" s="5"/>
      <c r="BP339" s="5"/>
      <c r="BQ339" s="5"/>
      <c r="BR339" s="5"/>
      <c r="BS339" s="5"/>
      <c r="BT339" s="5"/>
      <c r="BU339" s="5"/>
      <c r="BV339" s="5"/>
      <c r="BW339" s="5"/>
      <c r="BX339" s="5"/>
      <c r="BY339" s="5"/>
      <c r="BZ339" s="5"/>
      <c r="CA339" s="5"/>
      <c r="CB339" s="5"/>
      <c r="CC339" s="5"/>
      <c r="CD339" s="5"/>
      <c r="CE339" s="5"/>
      <c r="CF339" s="5"/>
      <c r="CG339" s="5"/>
      <c r="CH339" s="5"/>
      <c r="CI339" s="5"/>
      <c r="CJ339" s="5"/>
      <c r="CK339" s="5"/>
      <c r="CL339" s="5"/>
      <c r="CM339" s="5"/>
      <c r="CN339" s="5"/>
      <c r="CO339" s="5"/>
      <c r="CP339" s="5"/>
      <c r="CQ339" s="5"/>
      <c r="CR339" s="5"/>
      <c r="CS339" s="5"/>
      <c r="CT339" s="5"/>
      <c r="CU339" s="5"/>
      <c r="CV339" s="5"/>
      <c r="CW339" s="5"/>
      <c r="CX339" s="5"/>
      <c r="CY339" s="5"/>
      <c r="CZ339" s="5"/>
      <c r="DA339" s="5"/>
      <c r="DB339" s="5"/>
      <c r="DC339" s="5"/>
      <c r="DD339" s="5"/>
      <c r="DE339" s="5"/>
      <c r="DF339" s="5"/>
      <c r="DG339" s="5"/>
      <c r="DH339" s="5"/>
      <c r="DI339" s="5"/>
      <c r="DJ339" s="5"/>
      <c r="DK339" s="5"/>
      <c r="DL339" s="5"/>
      <c r="DM339" s="5"/>
      <c r="DN339" s="5"/>
      <c r="DO339" s="5"/>
      <c r="DP339" s="5"/>
      <c r="DQ339" s="5"/>
      <c r="DR339" s="5"/>
      <c r="DS339" s="5"/>
      <c r="DT339" s="5"/>
      <c r="DU339" s="5"/>
      <c r="DV339" s="5"/>
      <c r="DW339" s="5"/>
      <c r="DX339" s="5"/>
      <c r="DY339" s="5"/>
      <c r="DZ339" s="5"/>
      <c r="EA339" s="5"/>
      <c r="EB339" s="5"/>
      <c r="EC339" s="5"/>
      <c r="ED339" s="5"/>
      <c r="EE339" s="5"/>
      <c r="EF339" s="5"/>
      <c r="EG339" s="5"/>
      <c r="EH339" s="5"/>
      <c r="EI339" s="5"/>
      <c r="EJ339" s="5"/>
      <c r="EK339" s="5"/>
      <c r="EL339" s="5"/>
      <c r="EM339" s="5"/>
      <c r="EN339" s="5"/>
      <c r="EO339" s="5"/>
      <c r="EP339" s="5"/>
      <c r="EQ339" s="5"/>
      <c r="ER339" s="5"/>
      <c r="ES339" s="5"/>
      <c r="ET339" s="5"/>
      <c r="EU339" s="5"/>
      <c r="EV339" s="5"/>
      <c r="EW339" s="5"/>
      <c r="EX339" s="5"/>
      <c r="EY339" s="5"/>
      <c r="EZ339" s="5"/>
      <c r="FA339" s="5"/>
      <c r="FB339" s="5"/>
      <c r="FC339" s="5"/>
      <c r="FD339" s="5"/>
      <c r="FE339" s="5"/>
      <c r="FF339" s="5"/>
      <c r="FG339" s="5"/>
      <c r="FH339" s="5"/>
      <c r="FI339" s="5"/>
      <c r="FJ339" s="5"/>
      <c r="FK339" s="5"/>
      <c r="FL339" s="5"/>
      <c r="FM339" s="5"/>
      <c r="FN339" s="5"/>
      <c r="FO339" s="5"/>
      <c r="FP339" s="5"/>
      <c r="FQ339" s="5"/>
      <c r="FR339" s="5"/>
      <c r="FS339" s="5"/>
      <c r="FT339" s="5"/>
      <c r="FU339" s="5"/>
      <c r="FV339" s="5"/>
      <c r="FW339" s="5"/>
      <c r="FX339" s="5"/>
      <c r="FY339" s="5"/>
      <c r="FZ339" s="5"/>
      <c r="GA339" s="5"/>
      <c r="GB339" s="5"/>
      <c r="GC339" s="5"/>
      <c r="GD339" s="5"/>
      <c r="GE339" s="5"/>
      <c r="GF339" s="5"/>
      <c r="GG339" s="5"/>
      <c r="GH339" s="5"/>
      <c r="GI339" s="5"/>
      <c r="GJ339" s="5"/>
      <c r="GK339" s="5"/>
      <c r="GL339" s="5"/>
      <c r="GM339" s="5"/>
      <c r="GN339" s="5"/>
      <c r="GO339" s="5"/>
      <c r="GP339" s="5"/>
      <c r="GQ339" s="5"/>
      <c r="GR339" s="5"/>
      <c r="GS339" s="5"/>
      <c r="GT339" s="5"/>
      <c r="GU339" s="5"/>
      <c r="GV339" s="5"/>
      <c r="GW339" s="5"/>
      <c r="GX339" s="5"/>
      <c r="GY339" s="5"/>
      <c r="GZ339" s="5"/>
      <c r="HA339" s="5"/>
      <c r="HB339" s="5"/>
      <c r="HC339" s="5"/>
      <c r="HD339" s="5"/>
      <c r="HE339" s="5"/>
      <c r="HF339" s="5"/>
      <c r="HG339" s="5"/>
      <c r="HH339" s="5"/>
      <c r="HI339" s="5"/>
      <c r="HJ339" s="5"/>
      <c r="HK339" s="5"/>
      <c r="HL339" s="5"/>
      <c r="HM339" s="5"/>
      <c r="HN339" s="5"/>
      <c r="HO339" s="5"/>
      <c r="HP339" s="5"/>
      <c r="HQ339" s="5"/>
      <c r="HR339" s="5"/>
      <c r="HS339" s="5"/>
      <c r="HT339" s="5"/>
      <c r="HU339" s="5"/>
      <c r="HV339" s="5"/>
      <c r="HW339" s="5"/>
      <c r="HX339" s="5"/>
      <c r="HY339" s="5"/>
      <c r="HZ339" s="5"/>
      <c r="IA339" s="5"/>
      <c r="IB339" s="5"/>
      <c r="IC339" s="5"/>
      <c r="ID339" s="5"/>
      <c r="IE339" s="5"/>
    </row>
    <row r="340" spans="1:239" ht="100.5" customHeight="1" x14ac:dyDescent="0.45">
      <c r="A340" s="489"/>
      <c r="B340" s="490"/>
      <c r="C340" s="213" t="s">
        <v>604</v>
      </c>
      <c r="D340" s="231"/>
      <c r="E340" s="231"/>
      <c r="F340" s="633"/>
      <c r="G340" s="39">
        <v>0</v>
      </c>
      <c r="H340" s="39">
        <v>0</v>
      </c>
      <c r="I340" s="39">
        <f>565+720</f>
        <v>1285</v>
      </c>
      <c r="J340" s="39">
        <v>598.5</v>
      </c>
      <c r="K340" s="491">
        <v>0</v>
      </c>
      <c r="L340" s="57"/>
      <c r="M340" s="30"/>
      <c r="N340" s="30"/>
      <c r="O340" s="31">
        <f>+J340-'[1]вересень (2)'!J311</f>
        <v>598.5</v>
      </c>
      <c r="P340" s="466"/>
      <c r="Q340" s="5"/>
      <c r="R340" s="5"/>
      <c r="S340" s="5"/>
      <c r="T340" s="5"/>
      <c r="U340" s="5"/>
      <c r="V340" s="5"/>
      <c r="W340" s="5"/>
      <c r="X340" s="5"/>
      <c r="Y340" s="5"/>
      <c r="Z340" s="5"/>
      <c r="AA340" s="5"/>
      <c r="AB340" s="5"/>
      <c r="AC340" s="5"/>
      <c r="AD340" s="5"/>
      <c r="AE340" s="5"/>
      <c r="AF340" s="5"/>
      <c r="AG340" s="5"/>
      <c r="AH340" s="5"/>
      <c r="AI340" s="5"/>
      <c r="AJ340" s="5"/>
      <c r="AK340" s="5"/>
      <c r="AL340" s="5"/>
      <c r="AM340" s="5"/>
      <c r="AN340" s="5"/>
      <c r="AO340" s="5"/>
      <c r="AP340" s="5"/>
      <c r="AQ340" s="5"/>
      <c r="AR340" s="5"/>
      <c r="AS340" s="5"/>
      <c r="AT340" s="5"/>
      <c r="AU340" s="5"/>
      <c r="AV340" s="5"/>
      <c r="AW340" s="5"/>
      <c r="AX340" s="5"/>
      <c r="AY340" s="5"/>
      <c r="AZ340" s="5"/>
      <c r="BA340" s="5"/>
      <c r="BB340" s="5"/>
      <c r="BC340" s="5"/>
      <c r="BD340" s="5"/>
      <c r="BE340" s="5"/>
      <c r="BF340" s="5"/>
      <c r="BG340" s="5"/>
      <c r="BH340" s="5"/>
      <c r="BI340" s="5"/>
      <c r="BJ340" s="5"/>
      <c r="BK340" s="5"/>
      <c r="BL340" s="5"/>
      <c r="BM340" s="5"/>
      <c r="BN340" s="5"/>
      <c r="BO340" s="5"/>
      <c r="BP340" s="5"/>
      <c r="BQ340" s="5"/>
      <c r="BR340" s="5"/>
      <c r="BS340" s="5"/>
      <c r="BT340" s="5"/>
      <c r="BU340" s="5"/>
      <c r="BV340" s="5"/>
      <c r="BW340" s="5"/>
      <c r="BX340" s="5"/>
      <c r="BY340" s="5"/>
      <c r="BZ340" s="5"/>
      <c r="CA340" s="5"/>
      <c r="CB340" s="5"/>
      <c r="CC340" s="5"/>
      <c r="CD340" s="5"/>
      <c r="CE340" s="5"/>
      <c r="CF340" s="5"/>
      <c r="CG340" s="5"/>
      <c r="CH340" s="5"/>
      <c r="CI340" s="5"/>
      <c r="CJ340" s="5"/>
      <c r="CK340" s="5"/>
      <c r="CL340" s="5"/>
      <c r="CM340" s="5"/>
      <c r="CN340" s="5"/>
      <c r="CO340" s="5"/>
      <c r="CP340" s="5"/>
      <c r="CQ340" s="5"/>
      <c r="CR340" s="5"/>
      <c r="CS340" s="5"/>
      <c r="CT340" s="5"/>
      <c r="CU340" s="5"/>
      <c r="CV340" s="5"/>
      <c r="CW340" s="5"/>
      <c r="CX340" s="5"/>
      <c r="CY340" s="5"/>
      <c r="CZ340" s="5"/>
      <c r="DA340" s="5"/>
      <c r="DB340" s="5"/>
      <c r="DC340" s="5"/>
      <c r="DD340" s="5"/>
      <c r="DE340" s="5"/>
      <c r="DF340" s="5"/>
      <c r="DG340" s="5"/>
      <c r="DH340" s="5"/>
      <c r="DI340" s="5"/>
      <c r="DJ340" s="5"/>
      <c r="DK340" s="5"/>
      <c r="DL340" s="5"/>
      <c r="DM340" s="5"/>
      <c r="DN340" s="5"/>
      <c r="DO340" s="5"/>
      <c r="DP340" s="5"/>
      <c r="DQ340" s="5"/>
      <c r="DR340" s="5"/>
      <c r="DS340" s="5"/>
      <c r="DT340" s="5"/>
      <c r="DU340" s="5"/>
      <c r="DV340" s="5"/>
      <c r="DW340" s="5"/>
      <c r="DX340" s="5"/>
      <c r="DY340" s="5"/>
      <c r="DZ340" s="5"/>
      <c r="EA340" s="5"/>
      <c r="EB340" s="5"/>
      <c r="EC340" s="5"/>
      <c r="ED340" s="5"/>
      <c r="EE340" s="5"/>
      <c r="EF340" s="5"/>
      <c r="EG340" s="5"/>
      <c r="EH340" s="5"/>
      <c r="EI340" s="5"/>
      <c r="EJ340" s="5"/>
      <c r="EK340" s="5"/>
      <c r="EL340" s="5"/>
      <c r="EM340" s="5"/>
      <c r="EN340" s="5"/>
      <c r="EO340" s="5"/>
      <c r="EP340" s="5"/>
      <c r="EQ340" s="5"/>
      <c r="ER340" s="5"/>
      <c r="ES340" s="5"/>
      <c r="ET340" s="5"/>
      <c r="EU340" s="5"/>
      <c r="EV340" s="5"/>
      <c r="EW340" s="5"/>
      <c r="EX340" s="5"/>
      <c r="EY340" s="5"/>
      <c r="EZ340" s="5"/>
      <c r="FA340" s="5"/>
      <c r="FB340" s="5"/>
      <c r="FC340" s="5"/>
      <c r="FD340" s="5"/>
      <c r="FE340" s="5"/>
      <c r="FF340" s="5"/>
      <c r="FG340" s="5"/>
      <c r="FH340" s="5"/>
      <c r="FI340" s="5"/>
      <c r="FJ340" s="5"/>
      <c r="FK340" s="5"/>
      <c r="FL340" s="5"/>
      <c r="FM340" s="5"/>
      <c r="FN340" s="5"/>
      <c r="FO340" s="5"/>
      <c r="FP340" s="5"/>
      <c r="FQ340" s="5"/>
      <c r="FR340" s="5"/>
      <c r="FS340" s="5"/>
      <c r="FT340" s="5"/>
      <c r="FU340" s="5"/>
      <c r="FV340" s="5"/>
      <c r="FW340" s="5"/>
      <c r="FX340" s="5"/>
      <c r="FY340" s="5"/>
      <c r="FZ340" s="5"/>
      <c r="GA340" s="5"/>
      <c r="GB340" s="5"/>
      <c r="GC340" s="5"/>
      <c r="GD340" s="5"/>
      <c r="GE340" s="5"/>
      <c r="GF340" s="5"/>
      <c r="GG340" s="5"/>
      <c r="GH340" s="5"/>
      <c r="GI340" s="5"/>
      <c r="GJ340" s="5"/>
      <c r="GK340" s="5"/>
      <c r="GL340" s="5"/>
      <c r="GM340" s="5"/>
      <c r="GN340" s="5"/>
      <c r="GO340" s="5"/>
      <c r="GP340" s="5"/>
      <c r="GQ340" s="5"/>
      <c r="GR340" s="5"/>
      <c r="GS340" s="5"/>
      <c r="GT340" s="5"/>
      <c r="GU340" s="5"/>
      <c r="GV340" s="5"/>
      <c r="GW340" s="5"/>
      <c r="GX340" s="5"/>
      <c r="GY340" s="5"/>
      <c r="GZ340" s="5"/>
      <c r="HA340" s="5"/>
      <c r="HB340" s="5"/>
      <c r="HC340" s="5"/>
      <c r="HD340" s="5"/>
      <c r="HE340" s="5"/>
      <c r="HF340" s="5"/>
      <c r="HG340" s="5"/>
      <c r="HH340" s="5"/>
      <c r="HI340" s="5"/>
      <c r="HJ340" s="5"/>
      <c r="HK340" s="5"/>
      <c r="HL340" s="5"/>
      <c r="HM340" s="5"/>
      <c r="HN340" s="5"/>
      <c r="HO340" s="5"/>
      <c r="HP340" s="5"/>
      <c r="HQ340" s="5"/>
      <c r="HR340" s="5"/>
      <c r="HS340" s="5"/>
      <c r="HT340" s="5"/>
      <c r="HU340" s="5"/>
      <c r="HV340" s="5"/>
      <c r="HW340" s="5"/>
      <c r="HX340" s="5"/>
      <c r="HY340" s="5"/>
      <c r="HZ340" s="5"/>
      <c r="IA340" s="5"/>
      <c r="IB340" s="5"/>
      <c r="IC340" s="5"/>
      <c r="ID340" s="5"/>
      <c r="IE340" s="5"/>
    </row>
    <row r="341" spans="1:239" ht="125.25" customHeight="1" x14ac:dyDescent="0.45">
      <c r="A341" s="467"/>
      <c r="B341" s="628" t="s">
        <v>605</v>
      </c>
      <c r="C341" s="213" t="s">
        <v>606</v>
      </c>
      <c r="D341" s="174" t="s">
        <v>12</v>
      </c>
      <c r="E341" s="46" t="s">
        <v>19</v>
      </c>
      <c r="F341" s="174" t="s">
        <v>576</v>
      </c>
      <c r="G341" s="39">
        <v>0</v>
      </c>
      <c r="H341" s="39">
        <v>0</v>
      </c>
      <c r="I341" s="39">
        <v>16058.6</v>
      </c>
      <c r="J341" s="39">
        <v>0</v>
      </c>
      <c r="K341" s="491">
        <v>0</v>
      </c>
      <c r="L341" s="52" t="s">
        <v>607</v>
      </c>
      <c r="M341" s="30"/>
      <c r="N341" s="30"/>
      <c r="O341" s="31">
        <f>+J341-'[1]вересень (2)'!J312</f>
        <v>0</v>
      </c>
      <c r="P341" s="466"/>
      <c r="Q341" s="5"/>
      <c r="R341" s="5"/>
      <c r="S341" s="5"/>
      <c r="T341" s="5"/>
      <c r="U341" s="5"/>
      <c r="V341" s="5"/>
      <c r="W341" s="5"/>
      <c r="X341" s="5"/>
      <c r="Y341" s="5"/>
      <c r="Z341" s="5"/>
      <c r="AA341" s="5"/>
      <c r="AB341" s="5"/>
      <c r="AC341" s="5"/>
      <c r="AD341" s="5"/>
      <c r="AE341" s="5"/>
      <c r="AF341" s="5"/>
      <c r="AG341" s="5"/>
      <c r="AH341" s="5"/>
      <c r="AI341" s="5"/>
      <c r="AJ341" s="5"/>
      <c r="AK341" s="5"/>
      <c r="AL341" s="5"/>
      <c r="AM341" s="5"/>
      <c r="AN341" s="5"/>
      <c r="AO341" s="5"/>
      <c r="AP341" s="5"/>
      <c r="AQ341" s="5"/>
      <c r="AR341" s="5"/>
      <c r="AS341" s="5"/>
      <c r="AT341" s="5"/>
      <c r="AU341" s="5"/>
      <c r="AV341" s="5"/>
      <c r="AW341" s="5"/>
      <c r="AX341" s="5"/>
      <c r="AY341" s="5"/>
      <c r="AZ341" s="5"/>
      <c r="BA341" s="5"/>
      <c r="BB341" s="5"/>
      <c r="BC341" s="5"/>
      <c r="BD341" s="5"/>
      <c r="BE341" s="5"/>
      <c r="BF341" s="5"/>
      <c r="BG341" s="5"/>
      <c r="BH341" s="5"/>
      <c r="BI341" s="5"/>
      <c r="BJ341" s="5"/>
      <c r="BK341" s="5"/>
      <c r="BL341" s="5"/>
      <c r="BM341" s="5"/>
      <c r="BN341" s="5"/>
      <c r="BO341" s="5"/>
      <c r="BP341" s="5"/>
      <c r="BQ341" s="5"/>
      <c r="BR341" s="5"/>
      <c r="BS341" s="5"/>
      <c r="BT341" s="5"/>
      <c r="BU341" s="5"/>
      <c r="BV341" s="5"/>
      <c r="BW341" s="5"/>
      <c r="BX341" s="5"/>
      <c r="BY341" s="5"/>
      <c r="BZ341" s="5"/>
      <c r="CA341" s="5"/>
      <c r="CB341" s="5"/>
      <c r="CC341" s="5"/>
      <c r="CD341" s="5"/>
      <c r="CE341" s="5"/>
      <c r="CF341" s="5"/>
      <c r="CG341" s="5"/>
      <c r="CH341" s="5"/>
      <c r="CI341" s="5"/>
      <c r="CJ341" s="5"/>
      <c r="CK341" s="5"/>
      <c r="CL341" s="5"/>
      <c r="CM341" s="5"/>
      <c r="CN341" s="5"/>
      <c r="CO341" s="5"/>
      <c r="CP341" s="5"/>
      <c r="CQ341" s="5"/>
      <c r="CR341" s="5"/>
      <c r="CS341" s="5"/>
      <c r="CT341" s="5"/>
      <c r="CU341" s="5"/>
      <c r="CV341" s="5"/>
      <c r="CW341" s="5"/>
      <c r="CX341" s="5"/>
      <c r="CY341" s="5"/>
      <c r="CZ341" s="5"/>
      <c r="DA341" s="5"/>
      <c r="DB341" s="5"/>
      <c r="DC341" s="5"/>
      <c r="DD341" s="5"/>
      <c r="DE341" s="5"/>
      <c r="DF341" s="5"/>
      <c r="DG341" s="5"/>
      <c r="DH341" s="5"/>
      <c r="DI341" s="5"/>
      <c r="DJ341" s="5"/>
      <c r="DK341" s="5"/>
      <c r="DL341" s="5"/>
      <c r="DM341" s="5"/>
      <c r="DN341" s="5"/>
      <c r="DO341" s="5"/>
      <c r="DP341" s="5"/>
      <c r="DQ341" s="5"/>
      <c r="DR341" s="5"/>
      <c r="DS341" s="5"/>
      <c r="DT341" s="5"/>
      <c r="DU341" s="5"/>
      <c r="DV341" s="5"/>
      <c r="DW341" s="5"/>
      <c r="DX341" s="5"/>
      <c r="DY341" s="5"/>
      <c r="DZ341" s="5"/>
      <c r="EA341" s="5"/>
      <c r="EB341" s="5"/>
      <c r="EC341" s="5"/>
      <c r="ED341" s="5"/>
      <c r="EE341" s="5"/>
      <c r="EF341" s="5"/>
      <c r="EG341" s="5"/>
      <c r="EH341" s="5"/>
      <c r="EI341" s="5"/>
      <c r="EJ341" s="5"/>
      <c r="EK341" s="5"/>
      <c r="EL341" s="5"/>
      <c r="EM341" s="5"/>
      <c r="EN341" s="5"/>
      <c r="EO341" s="5"/>
      <c r="EP341" s="5"/>
      <c r="EQ341" s="5"/>
      <c r="ER341" s="5"/>
      <c r="ES341" s="5"/>
      <c r="ET341" s="5"/>
      <c r="EU341" s="5"/>
      <c r="EV341" s="5"/>
      <c r="EW341" s="5"/>
      <c r="EX341" s="5"/>
      <c r="EY341" s="5"/>
      <c r="EZ341" s="5"/>
      <c r="FA341" s="5"/>
      <c r="FB341" s="5"/>
      <c r="FC341" s="5"/>
      <c r="FD341" s="5"/>
      <c r="FE341" s="5"/>
      <c r="FF341" s="5"/>
      <c r="FG341" s="5"/>
      <c r="FH341" s="5"/>
      <c r="FI341" s="5"/>
      <c r="FJ341" s="5"/>
      <c r="FK341" s="5"/>
      <c r="FL341" s="5"/>
      <c r="FM341" s="5"/>
      <c r="FN341" s="5"/>
      <c r="FO341" s="5"/>
      <c r="FP341" s="5"/>
      <c r="FQ341" s="5"/>
      <c r="FR341" s="5"/>
      <c r="FS341" s="5"/>
      <c r="FT341" s="5"/>
      <c r="FU341" s="5"/>
      <c r="FV341" s="5"/>
      <c r="FW341" s="5"/>
      <c r="FX341" s="5"/>
      <c r="FY341" s="5"/>
      <c r="FZ341" s="5"/>
      <c r="GA341" s="5"/>
      <c r="GB341" s="5"/>
      <c r="GC341" s="5"/>
      <c r="GD341" s="5"/>
      <c r="GE341" s="5"/>
      <c r="GF341" s="5"/>
      <c r="GG341" s="5"/>
      <c r="GH341" s="5"/>
      <c r="GI341" s="5"/>
      <c r="GJ341" s="5"/>
      <c r="GK341" s="5"/>
      <c r="GL341" s="5"/>
      <c r="GM341" s="5"/>
      <c r="GN341" s="5"/>
      <c r="GO341" s="5"/>
      <c r="GP341" s="5"/>
      <c r="GQ341" s="5"/>
      <c r="GR341" s="5"/>
      <c r="GS341" s="5"/>
      <c r="GT341" s="5"/>
      <c r="GU341" s="5"/>
      <c r="GV341" s="5"/>
      <c r="GW341" s="5"/>
      <c r="GX341" s="5"/>
      <c r="GY341" s="5"/>
      <c r="GZ341" s="5"/>
      <c r="HA341" s="5"/>
      <c r="HB341" s="5"/>
      <c r="HC341" s="5"/>
      <c r="HD341" s="5"/>
      <c r="HE341" s="5"/>
      <c r="HF341" s="5"/>
      <c r="HG341" s="5"/>
      <c r="HH341" s="5"/>
      <c r="HI341" s="5"/>
      <c r="HJ341" s="5"/>
      <c r="HK341" s="5"/>
      <c r="HL341" s="5"/>
      <c r="HM341" s="5"/>
      <c r="HN341" s="5"/>
      <c r="HO341" s="5"/>
      <c r="HP341" s="5"/>
      <c r="HQ341" s="5"/>
      <c r="HR341" s="5"/>
      <c r="HS341" s="5"/>
      <c r="HT341" s="5"/>
      <c r="HU341" s="5"/>
      <c r="HV341" s="5"/>
      <c r="HW341" s="5"/>
      <c r="HX341" s="5"/>
      <c r="HY341" s="5"/>
      <c r="HZ341" s="5"/>
      <c r="IA341" s="5"/>
      <c r="IB341" s="5"/>
      <c r="IC341" s="5"/>
      <c r="ID341" s="5"/>
      <c r="IE341" s="5"/>
    </row>
    <row r="342" spans="1:239" ht="159" customHeight="1" x14ac:dyDescent="0.45">
      <c r="A342" s="63"/>
      <c r="B342" s="662"/>
      <c r="C342" s="213" t="s">
        <v>608</v>
      </c>
      <c r="D342" s="174" t="s">
        <v>12</v>
      </c>
      <c r="E342" s="46" t="s">
        <v>19</v>
      </c>
      <c r="F342" s="174" t="s">
        <v>576</v>
      </c>
      <c r="G342" s="39">
        <v>0</v>
      </c>
      <c r="H342" s="39">
        <v>0</v>
      </c>
      <c r="I342" s="39">
        <v>13108.8</v>
      </c>
      <c r="J342" s="39">
        <f>4299.1+2430.1</f>
        <v>6729.2000000000007</v>
      </c>
      <c r="K342" s="491">
        <v>0</v>
      </c>
      <c r="L342" s="52" t="s">
        <v>609</v>
      </c>
      <c r="M342" s="30"/>
      <c r="N342" s="30"/>
      <c r="O342" s="31">
        <f>+J342-'[1]вересень (2)'!J313</f>
        <v>6729.2000000000007</v>
      </c>
      <c r="P342" s="466"/>
      <c r="Q342" s="5"/>
      <c r="R342" s="5"/>
      <c r="S342" s="5"/>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c r="BN342" s="5"/>
      <c r="BO342" s="5"/>
      <c r="BP342" s="5"/>
      <c r="BQ342" s="5"/>
      <c r="BR342" s="5"/>
      <c r="BS342" s="5"/>
      <c r="BT342" s="5"/>
      <c r="BU342" s="5"/>
      <c r="BV342" s="5"/>
      <c r="BW342" s="5"/>
      <c r="BX342" s="5"/>
      <c r="BY342" s="5"/>
      <c r="BZ342" s="5"/>
      <c r="CA342" s="5"/>
      <c r="CB342" s="5"/>
      <c r="CC342" s="5"/>
      <c r="CD342" s="5"/>
      <c r="CE342" s="5"/>
      <c r="CF342" s="5"/>
      <c r="CG342" s="5"/>
      <c r="CH342" s="5"/>
      <c r="CI342" s="5"/>
      <c r="CJ342" s="5"/>
      <c r="CK342" s="5"/>
      <c r="CL342" s="5"/>
      <c r="CM342" s="5"/>
      <c r="CN342" s="5"/>
      <c r="CO342" s="5"/>
      <c r="CP342" s="5"/>
      <c r="CQ342" s="5"/>
      <c r="CR342" s="5"/>
      <c r="CS342" s="5"/>
      <c r="CT342" s="5"/>
      <c r="CU342" s="5"/>
      <c r="CV342" s="5"/>
      <c r="CW342" s="5"/>
      <c r="CX342" s="5"/>
      <c r="CY342" s="5"/>
      <c r="CZ342" s="5"/>
      <c r="DA342" s="5"/>
      <c r="DB342" s="5"/>
      <c r="DC342" s="5"/>
      <c r="DD342" s="5"/>
      <c r="DE342" s="5"/>
      <c r="DF342" s="5"/>
      <c r="DG342" s="5"/>
      <c r="DH342" s="5"/>
      <c r="DI342" s="5"/>
      <c r="DJ342" s="5"/>
      <c r="DK342" s="5"/>
      <c r="DL342" s="5"/>
      <c r="DM342" s="5"/>
      <c r="DN342" s="5"/>
      <c r="DO342" s="5"/>
      <c r="DP342" s="5"/>
      <c r="DQ342" s="5"/>
      <c r="DR342" s="5"/>
      <c r="DS342" s="5"/>
      <c r="DT342" s="5"/>
      <c r="DU342" s="5"/>
      <c r="DV342" s="5"/>
      <c r="DW342" s="5"/>
      <c r="DX342" s="5"/>
      <c r="DY342" s="5"/>
      <c r="DZ342" s="5"/>
      <c r="EA342" s="5"/>
      <c r="EB342" s="5"/>
      <c r="EC342" s="5"/>
      <c r="ED342" s="5"/>
      <c r="EE342" s="5"/>
      <c r="EF342" s="5"/>
      <c r="EG342" s="5"/>
      <c r="EH342" s="5"/>
      <c r="EI342" s="5"/>
      <c r="EJ342" s="5"/>
      <c r="EK342" s="5"/>
      <c r="EL342" s="5"/>
      <c r="EM342" s="5"/>
      <c r="EN342" s="5"/>
      <c r="EO342" s="5"/>
      <c r="EP342" s="5"/>
      <c r="EQ342" s="5"/>
      <c r="ER342" s="5"/>
      <c r="ES342" s="5"/>
      <c r="ET342" s="5"/>
      <c r="EU342" s="5"/>
      <c r="EV342" s="5"/>
      <c r="EW342" s="5"/>
      <c r="EX342" s="5"/>
      <c r="EY342" s="5"/>
      <c r="EZ342" s="5"/>
      <c r="FA342" s="5"/>
      <c r="FB342" s="5"/>
      <c r="FC342" s="5"/>
      <c r="FD342" s="5"/>
      <c r="FE342" s="5"/>
      <c r="FF342" s="5"/>
      <c r="FG342" s="5"/>
      <c r="FH342" s="5"/>
      <c r="FI342" s="5"/>
      <c r="FJ342" s="5"/>
      <c r="FK342" s="5"/>
      <c r="FL342" s="5"/>
      <c r="FM342" s="5"/>
      <c r="FN342" s="5"/>
      <c r="FO342" s="5"/>
      <c r="FP342" s="5"/>
      <c r="FQ342" s="5"/>
      <c r="FR342" s="5"/>
      <c r="FS342" s="5"/>
      <c r="FT342" s="5"/>
      <c r="FU342" s="5"/>
      <c r="FV342" s="5"/>
      <c r="FW342" s="5"/>
      <c r="FX342" s="5"/>
      <c r="FY342" s="5"/>
      <c r="FZ342" s="5"/>
      <c r="GA342" s="5"/>
      <c r="GB342" s="5"/>
      <c r="GC342" s="5"/>
      <c r="GD342" s="5"/>
      <c r="GE342" s="5"/>
      <c r="GF342" s="5"/>
      <c r="GG342" s="5"/>
      <c r="GH342" s="5"/>
      <c r="GI342" s="5"/>
      <c r="GJ342" s="5"/>
      <c r="GK342" s="5"/>
      <c r="GL342" s="5"/>
      <c r="GM342" s="5"/>
      <c r="GN342" s="5"/>
      <c r="GO342" s="5"/>
      <c r="GP342" s="5"/>
      <c r="GQ342" s="5"/>
      <c r="GR342" s="5"/>
      <c r="GS342" s="5"/>
      <c r="GT342" s="5"/>
      <c r="GU342" s="5"/>
      <c r="GV342" s="5"/>
      <c r="GW342" s="5"/>
      <c r="GX342" s="5"/>
      <c r="GY342" s="5"/>
      <c r="GZ342" s="5"/>
      <c r="HA342" s="5"/>
      <c r="HB342" s="5"/>
      <c r="HC342" s="5"/>
      <c r="HD342" s="5"/>
      <c r="HE342" s="5"/>
      <c r="HF342" s="5"/>
      <c r="HG342" s="5"/>
      <c r="HH342" s="5"/>
      <c r="HI342" s="5"/>
      <c r="HJ342" s="5"/>
      <c r="HK342" s="5"/>
      <c r="HL342" s="5"/>
      <c r="HM342" s="5"/>
      <c r="HN342" s="5"/>
      <c r="HO342" s="5"/>
      <c r="HP342" s="5"/>
      <c r="HQ342" s="5"/>
      <c r="HR342" s="5"/>
      <c r="HS342" s="5"/>
      <c r="HT342" s="5"/>
      <c r="HU342" s="5"/>
      <c r="HV342" s="5"/>
      <c r="HW342" s="5"/>
      <c r="HX342" s="5"/>
      <c r="HY342" s="5"/>
      <c r="HZ342" s="5"/>
      <c r="IA342" s="5"/>
      <c r="IB342" s="5"/>
      <c r="IC342" s="5"/>
      <c r="ID342" s="5"/>
      <c r="IE342" s="5"/>
    </row>
    <row r="343" spans="1:239" ht="157.5" customHeight="1" x14ac:dyDescent="0.45">
      <c r="A343" s="485"/>
      <c r="B343" s="274"/>
      <c r="C343" s="213" t="s">
        <v>610</v>
      </c>
      <c r="D343" s="174" t="s">
        <v>12</v>
      </c>
      <c r="E343" s="46" t="s">
        <v>19</v>
      </c>
      <c r="F343" s="174" t="s">
        <v>576</v>
      </c>
      <c r="G343" s="39">
        <v>0</v>
      </c>
      <c r="H343" s="39">
        <v>0</v>
      </c>
      <c r="I343" s="217">
        <v>13233.2</v>
      </c>
      <c r="J343" s="39">
        <v>0</v>
      </c>
      <c r="K343" s="491">
        <v>0</v>
      </c>
      <c r="L343" s="52" t="s">
        <v>609</v>
      </c>
      <c r="M343" s="30"/>
      <c r="N343" s="30"/>
      <c r="O343" s="31">
        <f>+J343-'[1]вересень (2)'!J314</f>
        <v>0</v>
      </c>
      <c r="P343" s="466"/>
      <c r="Q343" s="5"/>
      <c r="R343" s="5"/>
      <c r="S343" s="5"/>
      <c r="T343" s="5"/>
      <c r="U343" s="5"/>
      <c r="V343" s="5"/>
      <c r="W343" s="5"/>
      <c r="X343" s="5"/>
      <c r="Y343" s="5"/>
      <c r="Z343" s="5"/>
      <c r="AA343" s="5"/>
      <c r="AB343" s="5"/>
      <c r="AC343" s="5"/>
      <c r="AD343" s="5"/>
      <c r="AE343" s="5"/>
      <c r="AF343" s="5"/>
      <c r="AG343" s="5"/>
      <c r="AH343" s="5"/>
      <c r="AI343" s="5"/>
      <c r="AJ343" s="5"/>
      <c r="AK343" s="5"/>
      <c r="AL343" s="5"/>
      <c r="AM343" s="5"/>
      <c r="AN343" s="5"/>
      <c r="AO343" s="5"/>
      <c r="AP343" s="5"/>
      <c r="AQ343" s="5"/>
      <c r="AR343" s="5"/>
      <c r="AS343" s="5"/>
      <c r="AT343" s="5"/>
      <c r="AU343" s="5"/>
      <c r="AV343" s="5"/>
      <c r="AW343" s="5"/>
      <c r="AX343" s="5"/>
      <c r="AY343" s="5"/>
      <c r="AZ343" s="5"/>
      <c r="BA343" s="5"/>
      <c r="BB343" s="5"/>
      <c r="BC343" s="5"/>
      <c r="BD343" s="5"/>
      <c r="BE343" s="5"/>
      <c r="BF343" s="5"/>
      <c r="BG343" s="5"/>
      <c r="BH343" s="5"/>
      <c r="BI343" s="5"/>
      <c r="BJ343" s="5"/>
      <c r="BK343" s="5"/>
      <c r="BL343" s="5"/>
      <c r="BM343" s="5"/>
      <c r="BN343" s="5"/>
      <c r="BO343" s="5"/>
      <c r="BP343" s="5"/>
      <c r="BQ343" s="5"/>
      <c r="BR343" s="5"/>
      <c r="BS343" s="5"/>
      <c r="BT343" s="5"/>
      <c r="BU343" s="5"/>
      <c r="BV343" s="5"/>
      <c r="BW343" s="5"/>
      <c r="BX343" s="5"/>
      <c r="BY343" s="5"/>
      <c r="BZ343" s="5"/>
      <c r="CA343" s="5"/>
      <c r="CB343" s="5"/>
      <c r="CC343" s="5"/>
      <c r="CD343" s="5"/>
      <c r="CE343" s="5"/>
      <c r="CF343" s="5"/>
      <c r="CG343" s="5"/>
      <c r="CH343" s="5"/>
      <c r="CI343" s="5"/>
      <c r="CJ343" s="5"/>
      <c r="CK343" s="5"/>
      <c r="CL343" s="5"/>
      <c r="CM343" s="5"/>
      <c r="CN343" s="5"/>
      <c r="CO343" s="5"/>
      <c r="CP343" s="5"/>
      <c r="CQ343" s="5"/>
      <c r="CR343" s="5"/>
      <c r="CS343" s="5"/>
      <c r="CT343" s="5"/>
      <c r="CU343" s="5"/>
      <c r="CV343" s="5"/>
      <c r="CW343" s="5"/>
      <c r="CX343" s="5"/>
      <c r="CY343" s="5"/>
      <c r="CZ343" s="5"/>
      <c r="DA343" s="5"/>
      <c r="DB343" s="5"/>
      <c r="DC343" s="5"/>
      <c r="DD343" s="5"/>
      <c r="DE343" s="5"/>
      <c r="DF343" s="5"/>
      <c r="DG343" s="5"/>
      <c r="DH343" s="5"/>
      <c r="DI343" s="5"/>
      <c r="DJ343" s="5"/>
      <c r="DK343" s="5"/>
      <c r="DL343" s="5"/>
      <c r="DM343" s="5"/>
      <c r="DN343" s="5"/>
      <c r="DO343" s="5"/>
      <c r="DP343" s="5"/>
      <c r="DQ343" s="5"/>
      <c r="DR343" s="5"/>
      <c r="DS343" s="5"/>
      <c r="DT343" s="5"/>
      <c r="DU343" s="5"/>
      <c r="DV343" s="5"/>
      <c r="DW343" s="5"/>
      <c r="DX343" s="5"/>
      <c r="DY343" s="5"/>
      <c r="DZ343" s="5"/>
      <c r="EA343" s="5"/>
      <c r="EB343" s="5"/>
      <c r="EC343" s="5"/>
      <c r="ED343" s="5"/>
      <c r="EE343" s="5"/>
      <c r="EF343" s="5"/>
      <c r="EG343" s="5"/>
      <c r="EH343" s="5"/>
      <c r="EI343" s="5"/>
      <c r="EJ343" s="5"/>
      <c r="EK343" s="5"/>
      <c r="EL343" s="5"/>
      <c r="EM343" s="5"/>
      <c r="EN343" s="5"/>
      <c r="EO343" s="5"/>
      <c r="EP343" s="5"/>
      <c r="EQ343" s="5"/>
      <c r="ER343" s="5"/>
      <c r="ES343" s="5"/>
      <c r="ET343" s="5"/>
      <c r="EU343" s="5"/>
      <c r="EV343" s="5"/>
      <c r="EW343" s="5"/>
      <c r="EX343" s="5"/>
      <c r="EY343" s="5"/>
      <c r="EZ343" s="5"/>
      <c r="FA343" s="5"/>
      <c r="FB343" s="5"/>
      <c r="FC343" s="5"/>
      <c r="FD343" s="5"/>
      <c r="FE343" s="5"/>
      <c r="FF343" s="5"/>
      <c r="FG343" s="5"/>
      <c r="FH343" s="5"/>
      <c r="FI343" s="5"/>
      <c r="FJ343" s="5"/>
      <c r="FK343" s="5"/>
      <c r="FL343" s="5"/>
      <c r="FM343" s="5"/>
      <c r="FN343" s="5"/>
      <c r="FO343" s="5"/>
      <c r="FP343" s="5"/>
      <c r="FQ343" s="5"/>
      <c r="FR343" s="5"/>
      <c r="FS343" s="5"/>
      <c r="FT343" s="5"/>
      <c r="FU343" s="5"/>
      <c r="FV343" s="5"/>
      <c r="FW343" s="5"/>
      <c r="FX343" s="5"/>
      <c r="FY343" s="5"/>
      <c r="FZ343" s="5"/>
      <c r="GA343" s="5"/>
      <c r="GB343" s="5"/>
      <c r="GC343" s="5"/>
      <c r="GD343" s="5"/>
      <c r="GE343" s="5"/>
      <c r="GF343" s="5"/>
      <c r="GG343" s="5"/>
      <c r="GH343" s="5"/>
      <c r="GI343" s="5"/>
      <c r="GJ343" s="5"/>
      <c r="GK343" s="5"/>
      <c r="GL343" s="5"/>
      <c r="GM343" s="5"/>
      <c r="GN343" s="5"/>
      <c r="GO343" s="5"/>
      <c r="GP343" s="5"/>
      <c r="GQ343" s="5"/>
      <c r="GR343" s="5"/>
      <c r="GS343" s="5"/>
      <c r="GT343" s="5"/>
      <c r="GU343" s="5"/>
      <c r="GV343" s="5"/>
      <c r="GW343" s="5"/>
      <c r="GX343" s="5"/>
      <c r="GY343" s="5"/>
      <c r="GZ343" s="5"/>
      <c r="HA343" s="5"/>
      <c r="HB343" s="5"/>
      <c r="HC343" s="5"/>
      <c r="HD343" s="5"/>
      <c r="HE343" s="5"/>
      <c r="HF343" s="5"/>
      <c r="HG343" s="5"/>
      <c r="HH343" s="5"/>
      <c r="HI343" s="5"/>
      <c r="HJ343" s="5"/>
      <c r="HK343" s="5"/>
      <c r="HL343" s="5"/>
      <c r="HM343" s="5"/>
      <c r="HN343" s="5"/>
      <c r="HO343" s="5"/>
      <c r="HP343" s="5"/>
      <c r="HQ343" s="5"/>
      <c r="HR343" s="5"/>
      <c r="HS343" s="5"/>
      <c r="HT343" s="5"/>
      <c r="HU343" s="5"/>
      <c r="HV343" s="5"/>
      <c r="HW343" s="5"/>
      <c r="HX343" s="5"/>
      <c r="HY343" s="5"/>
      <c r="HZ343" s="5"/>
      <c r="IA343" s="5"/>
      <c r="IB343" s="5"/>
      <c r="IC343" s="5"/>
      <c r="ID343" s="5"/>
      <c r="IE343" s="5"/>
    </row>
    <row r="344" spans="1:239" ht="149.25" customHeight="1" x14ac:dyDescent="0.45">
      <c r="A344" s="485"/>
      <c r="B344" s="274"/>
      <c r="C344" s="213" t="s">
        <v>611</v>
      </c>
      <c r="D344" s="174" t="s">
        <v>12</v>
      </c>
      <c r="E344" s="46" t="s">
        <v>19</v>
      </c>
      <c r="F344" s="174" t="s">
        <v>576</v>
      </c>
      <c r="G344" s="39">
        <v>0</v>
      </c>
      <c r="H344" s="39">
        <v>0</v>
      </c>
      <c r="I344" s="39">
        <v>14800</v>
      </c>
      <c r="J344" s="39">
        <f>4061+1500</f>
        <v>5561</v>
      </c>
      <c r="K344" s="491">
        <v>0</v>
      </c>
      <c r="L344" s="52" t="s">
        <v>609</v>
      </c>
      <c r="M344" s="30"/>
      <c r="N344" s="30"/>
      <c r="O344" s="31">
        <f>+J344-'[1]вересень (2)'!J315</f>
        <v>5561</v>
      </c>
      <c r="P344" s="466"/>
      <c r="Q344" s="5"/>
      <c r="R344" s="5"/>
      <c r="S344" s="5"/>
      <c r="T344" s="5"/>
      <c r="U344" s="5"/>
      <c r="V344" s="5"/>
      <c r="W344" s="5"/>
      <c r="X344" s="5"/>
      <c r="Y344" s="5"/>
      <c r="Z344" s="5"/>
      <c r="AA344" s="5"/>
      <c r="AB344" s="5"/>
      <c r="AC344" s="5"/>
      <c r="AD344" s="5"/>
      <c r="AE344" s="5"/>
      <c r="AF344" s="5"/>
      <c r="AG344" s="5"/>
      <c r="AH344" s="5"/>
      <c r="AI344" s="5"/>
      <c r="AJ344" s="5"/>
      <c r="AK344" s="5"/>
      <c r="AL344" s="5"/>
      <c r="AM344" s="5"/>
      <c r="AN344" s="5"/>
      <c r="AO344" s="5"/>
      <c r="AP344" s="5"/>
      <c r="AQ344" s="5"/>
      <c r="AR344" s="5"/>
      <c r="AS344" s="5"/>
      <c r="AT344" s="5"/>
      <c r="AU344" s="5"/>
      <c r="AV344" s="5"/>
      <c r="AW344" s="5"/>
      <c r="AX344" s="5"/>
      <c r="AY344" s="5"/>
      <c r="AZ344" s="5"/>
      <c r="BA344" s="5"/>
      <c r="BB344" s="5"/>
      <c r="BC344" s="5"/>
      <c r="BD344" s="5"/>
      <c r="BE344" s="5"/>
      <c r="BF344" s="5"/>
      <c r="BG344" s="5"/>
      <c r="BH344" s="5"/>
      <c r="BI344" s="5"/>
      <c r="BJ344" s="5"/>
      <c r="BK344" s="5"/>
      <c r="BL344" s="5"/>
      <c r="BM344" s="5"/>
      <c r="BN344" s="5"/>
      <c r="BO344" s="5"/>
      <c r="BP344" s="5"/>
      <c r="BQ344" s="5"/>
      <c r="BR344" s="5"/>
      <c r="BS344" s="5"/>
      <c r="BT344" s="5"/>
      <c r="BU344" s="5"/>
      <c r="BV344" s="5"/>
      <c r="BW344" s="5"/>
      <c r="BX344" s="5"/>
      <c r="BY344" s="5"/>
      <c r="BZ344" s="5"/>
      <c r="CA344" s="5"/>
      <c r="CB344" s="5"/>
      <c r="CC344" s="5"/>
      <c r="CD344" s="5"/>
      <c r="CE344" s="5"/>
      <c r="CF344" s="5"/>
      <c r="CG344" s="5"/>
      <c r="CH344" s="5"/>
      <c r="CI344" s="5"/>
      <c r="CJ344" s="5"/>
      <c r="CK344" s="5"/>
      <c r="CL344" s="5"/>
      <c r="CM344" s="5"/>
      <c r="CN344" s="5"/>
      <c r="CO344" s="5"/>
      <c r="CP344" s="5"/>
      <c r="CQ344" s="5"/>
      <c r="CR344" s="5"/>
      <c r="CS344" s="5"/>
      <c r="CT344" s="5"/>
      <c r="CU344" s="5"/>
      <c r="CV344" s="5"/>
      <c r="CW344" s="5"/>
      <c r="CX344" s="5"/>
      <c r="CY344" s="5"/>
      <c r="CZ344" s="5"/>
      <c r="DA344" s="5"/>
      <c r="DB344" s="5"/>
      <c r="DC344" s="5"/>
      <c r="DD344" s="5"/>
      <c r="DE344" s="5"/>
      <c r="DF344" s="5"/>
      <c r="DG344" s="5"/>
      <c r="DH344" s="5"/>
      <c r="DI344" s="5"/>
      <c r="DJ344" s="5"/>
      <c r="DK344" s="5"/>
      <c r="DL344" s="5"/>
      <c r="DM344" s="5"/>
      <c r="DN344" s="5"/>
      <c r="DO344" s="5"/>
      <c r="DP344" s="5"/>
      <c r="DQ344" s="5"/>
      <c r="DR344" s="5"/>
      <c r="DS344" s="5"/>
      <c r="DT344" s="5"/>
      <c r="DU344" s="5"/>
      <c r="DV344" s="5"/>
      <c r="DW344" s="5"/>
      <c r="DX344" s="5"/>
      <c r="DY344" s="5"/>
      <c r="DZ344" s="5"/>
      <c r="EA344" s="5"/>
      <c r="EB344" s="5"/>
      <c r="EC344" s="5"/>
      <c r="ED344" s="5"/>
      <c r="EE344" s="5"/>
      <c r="EF344" s="5"/>
      <c r="EG344" s="5"/>
      <c r="EH344" s="5"/>
      <c r="EI344" s="5"/>
      <c r="EJ344" s="5"/>
      <c r="EK344" s="5"/>
      <c r="EL344" s="5"/>
      <c r="EM344" s="5"/>
      <c r="EN344" s="5"/>
      <c r="EO344" s="5"/>
      <c r="EP344" s="5"/>
      <c r="EQ344" s="5"/>
      <c r="ER344" s="5"/>
      <c r="ES344" s="5"/>
      <c r="ET344" s="5"/>
      <c r="EU344" s="5"/>
      <c r="EV344" s="5"/>
      <c r="EW344" s="5"/>
      <c r="EX344" s="5"/>
      <c r="EY344" s="5"/>
      <c r="EZ344" s="5"/>
      <c r="FA344" s="5"/>
      <c r="FB344" s="5"/>
      <c r="FC344" s="5"/>
      <c r="FD344" s="5"/>
      <c r="FE344" s="5"/>
      <c r="FF344" s="5"/>
      <c r="FG344" s="5"/>
      <c r="FH344" s="5"/>
      <c r="FI344" s="5"/>
      <c r="FJ344" s="5"/>
      <c r="FK344" s="5"/>
      <c r="FL344" s="5"/>
      <c r="FM344" s="5"/>
      <c r="FN344" s="5"/>
      <c r="FO344" s="5"/>
      <c r="FP344" s="5"/>
      <c r="FQ344" s="5"/>
      <c r="FR344" s="5"/>
      <c r="FS344" s="5"/>
      <c r="FT344" s="5"/>
      <c r="FU344" s="5"/>
      <c r="FV344" s="5"/>
      <c r="FW344" s="5"/>
      <c r="FX344" s="5"/>
      <c r="FY344" s="5"/>
      <c r="FZ344" s="5"/>
      <c r="GA344" s="5"/>
      <c r="GB344" s="5"/>
      <c r="GC344" s="5"/>
      <c r="GD344" s="5"/>
      <c r="GE344" s="5"/>
      <c r="GF344" s="5"/>
      <c r="GG344" s="5"/>
      <c r="GH344" s="5"/>
      <c r="GI344" s="5"/>
      <c r="GJ344" s="5"/>
      <c r="GK344" s="5"/>
      <c r="GL344" s="5"/>
      <c r="GM344" s="5"/>
      <c r="GN344" s="5"/>
      <c r="GO344" s="5"/>
      <c r="GP344" s="5"/>
      <c r="GQ344" s="5"/>
      <c r="GR344" s="5"/>
      <c r="GS344" s="5"/>
      <c r="GT344" s="5"/>
      <c r="GU344" s="5"/>
      <c r="GV344" s="5"/>
      <c r="GW344" s="5"/>
      <c r="GX344" s="5"/>
      <c r="GY344" s="5"/>
      <c r="GZ344" s="5"/>
      <c r="HA344" s="5"/>
      <c r="HB344" s="5"/>
      <c r="HC344" s="5"/>
      <c r="HD344" s="5"/>
      <c r="HE344" s="5"/>
      <c r="HF344" s="5"/>
      <c r="HG344" s="5"/>
      <c r="HH344" s="5"/>
      <c r="HI344" s="5"/>
      <c r="HJ344" s="5"/>
      <c r="HK344" s="5"/>
      <c r="HL344" s="5"/>
      <c r="HM344" s="5"/>
      <c r="HN344" s="5"/>
      <c r="HO344" s="5"/>
      <c r="HP344" s="5"/>
      <c r="HQ344" s="5"/>
      <c r="HR344" s="5"/>
      <c r="HS344" s="5"/>
      <c r="HT344" s="5"/>
      <c r="HU344" s="5"/>
      <c r="HV344" s="5"/>
      <c r="HW344" s="5"/>
      <c r="HX344" s="5"/>
      <c r="HY344" s="5"/>
      <c r="HZ344" s="5"/>
      <c r="IA344" s="5"/>
      <c r="IB344" s="5"/>
      <c r="IC344" s="5"/>
      <c r="ID344" s="5"/>
      <c r="IE344" s="5"/>
    </row>
    <row r="345" spans="1:239" ht="177.75" customHeight="1" x14ac:dyDescent="0.45">
      <c r="A345" s="485"/>
      <c r="B345" s="274" t="s">
        <v>612</v>
      </c>
      <c r="C345" s="213" t="s">
        <v>613</v>
      </c>
      <c r="D345" s="174" t="s">
        <v>12</v>
      </c>
      <c r="E345" s="46" t="s">
        <v>19</v>
      </c>
      <c r="F345" s="174" t="s">
        <v>576</v>
      </c>
      <c r="G345" s="39">
        <v>0</v>
      </c>
      <c r="H345" s="39">
        <v>0</v>
      </c>
      <c r="I345" s="495">
        <v>249.98699999999999</v>
      </c>
      <c r="J345" s="39">
        <v>0</v>
      </c>
      <c r="K345" s="491">
        <v>0</v>
      </c>
      <c r="L345" s="52" t="s">
        <v>614</v>
      </c>
      <c r="M345" s="30"/>
      <c r="N345" s="30"/>
      <c r="O345" s="31">
        <f>+J345-'[1]вересень (2)'!J316</f>
        <v>0</v>
      </c>
      <c r="P345" s="466"/>
      <c r="Q345" s="5"/>
      <c r="R345" s="5"/>
      <c r="S345" s="5"/>
      <c r="T345" s="5"/>
      <c r="U345" s="5"/>
      <c r="V345" s="5"/>
      <c r="W345" s="5"/>
      <c r="X345" s="5"/>
      <c r="Y345" s="5"/>
      <c r="Z345" s="5"/>
      <c r="AA345" s="5"/>
      <c r="AB345" s="5"/>
      <c r="AC345" s="5"/>
      <c r="AD345" s="5"/>
      <c r="AE345" s="5"/>
      <c r="AF345" s="5"/>
      <c r="AG345" s="5"/>
      <c r="AH345" s="5"/>
      <c r="AI345" s="5"/>
      <c r="AJ345" s="5"/>
      <c r="AK345" s="5"/>
      <c r="AL345" s="5"/>
      <c r="AM345" s="5"/>
      <c r="AN345" s="5"/>
      <c r="AO345" s="5"/>
      <c r="AP345" s="5"/>
      <c r="AQ345" s="5"/>
      <c r="AR345" s="5"/>
      <c r="AS345" s="5"/>
      <c r="AT345" s="5"/>
      <c r="AU345" s="5"/>
      <c r="AV345" s="5"/>
      <c r="AW345" s="5"/>
      <c r="AX345" s="5"/>
      <c r="AY345" s="5"/>
      <c r="AZ345" s="5"/>
      <c r="BA345" s="5"/>
      <c r="BB345" s="5"/>
      <c r="BC345" s="5"/>
      <c r="BD345" s="5"/>
      <c r="BE345" s="5"/>
      <c r="BF345" s="5"/>
      <c r="BG345" s="5"/>
      <c r="BH345" s="5"/>
      <c r="BI345" s="5"/>
      <c r="BJ345" s="5"/>
      <c r="BK345" s="5"/>
      <c r="BL345" s="5"/>
      <c r="BM345" s="5"/>
      <c r="BN345" s="5"/>
      <c r="BO345" s="5"/>
      <c r="BP345" s="5"/>
      <c r="BQ345" s="5"/>
      <c r="BR345" s="5"/>
      <c r="BS345" s="5"/>
      <c r="BT345" s="5"/>
      <c r="BU345" s="5"/>
      <c r="BV345" s="5"/>
      <c r="BW345" s="5"/>
      <c r="BX345" s="5"/>
      <c r="BY345" s="5"/>
      <c r="BZ345" s="5"/>
      <c r="CA345" s="5"/>
      <c r="CB345" s="5"/>
      <c r="CC345" s="5"/>
      <c r="CD345" s="5"/>
      <c r="CE345" s="5"/>
      <c r="CF345" s="5"/>
      <c r="CG345" s="5"/>
      <c r="CH345" s="5"/>
      <c r="CI345" s="5"/>
      <c r="CJ345" s="5"/>
      <c r="CK345" s="5"/>
      <c r="CL345" s="5"/>
      <c r="CM345" s="5"/>
      <c r="CN345" s="5"/>
      <c r="CO345" s="5"/>
      <c r="CP345" s="5"/>
      <c r="CQ345" s="5"/>
      <c r="CR345" s="5"/>
      <c r="CS345" s="5"/>
      <c r="CT345" s="5"/>
      <c r="CU345" s="5"/>
      <c r="CV345" s="5"/>
      <c r="CW345" s="5"/>
      <c r="CX345" s="5"/>
      <c r="CY345" s="5"/>
      <c r="CZ345" s="5"/>
      <c r="DA345" s="5"/>
      <c r="DB345" s="5"/>
      <c r="DC345" s="5"/>
      <c r="DD345" s="5"/>
      <c r="DE345" s="5"/>
      <c r="DF345" s="5"/>
      <c r="DG345" s="5"/>
      <c r="DH345" s="5"/>
      <c r="DI345" s="5"/>
      <c r="DJ345" s="5"/>
      <c r="DK345" s="5"/>
      <c r="DL345" s="5"/>
      <c r="DM345" s="5"/>
      <c r="DN345" s="5"/>
      <c r="DO345" s="5"/>
      <c r="DP345" s="5"/>
      <c r="DQ345" s="5"/>
      <c r="DR345" s="5"/>
      <c r="DS345" s="5"/>
      <c r="DT345" s="5"/>
      <c r="DU345" s="5"/>
      <c r="DV345" s="5"/>
      <c r="DW345" s="5"/>
      <c r="DX345" s="5"/>
      <c r="DY345" s="5"/>
      <c r="DZ345" s="5"/>
      <c r="EA345" s="5"/>
      <c r="EB345" s="5"/>
      <c r="EC345" s="5"/>
      <c r="ED345" s="5"/>
      <c r="EE345" s="5"/>
      <c r="EF345" s="5"/>
      <c r="EG345" s="5"/>
      <c r="EH345" s="5"/>
      <c r="EI345" s="5"/>
      <c r="EJ345" s="5"/>
      <c r="EK345" s="5"/>
      <c r="EL345" s="5"/>
      <c r="EM345" s="5"/>
      <c r="EN345" s="5"/>
      <c r="EO345" s="5"/>
      <c r="EP345" s="5"/>
      <c r="EQ345" s="5"/>
      <c r="ER345" s="5"/>
      <c r="ES345" s="5"/>
      <c r="ET345" s="5"/>
      <c r="EU345" s="5"/>
      <c r="EV345" s="5"/>
      <c r="EW345" s="5"/>
      <c r="EX345" s="5"/>
      <c r="EY345" s="5"/>
      <c r="EZ345" s="5"/>
      <c r="FA345" s="5"/>
      <c r="FB345" s="5"/>
      <c r="FC345" s="5"/>
      <c r="FD345" s="5"/>
      <c r="FE345" s="5"/>
      <c r="FF345" s="5"/>
      <c r="FG345" s="5"/>
      <c r="FH345" s="5"/>
      <c r="FI345" s="5"/>
      <c r="FJ345" s="5"/>
      <c r="FK345" s="5"/>
      <c r="FL345" s="5"/>
      <c r="FM345" s="5"/>
      <c r="FN345" s="5"/>
      <c r="FO345" s="5"/>
      <c r="FP345" s="5"/>
      <c r="FQ345" s="5"/>
      <c r="FR345" s="5"/>
      <c r="FS345" s="5"/>
      <c r="FT345" s="5"/>
      <c r="FU345" s="5"/>
      <c r="FV345" s="5"/>
      <c r="FW345" s="5"/>
      <c r="FX345" s="5"/>
      <c r="FY345" s="5"/>
      <c r="FZ345" s="5"/>
      <c r="GA345" s="5"/>
      <c r="GB345" s="5"/>
      <c r="GC345" s="5"/>
      <c r="GD345" s="5"/>
      <c r="GE345" s="5"/>
      <c r="GF345" s="5"/>
      <c r="GG345" s="5"/>
      <c r="GH345" s="5"/>
      <c r="GI345" s="5"/>
      <c r="GJ345" s="5"/>
      <c r="GK345" s="5"/>
      <c r="GL345" s="5"/>
      <c r="GM345" s="5"/>
      <c r="GN345" s="5"/>
      <c r="GO345" s="5"/>
      <c r="GP345" s="5"/>
      <c r="GQ345" s="5"/>
      <c r="GR345" s="5"/>
      <c r="GS345" s="5"/>
      <c r="GT345" s="5"/>
      <c r="GU345" s="5"/>
      <c r="GV345" s="5"/>
      <c r="GW345" s="5"/>
      <c r="GX345" s="5"/>
      <c r="GY345" s="5"/>
      <c r="GZ345" s="5"/>
      <c r="HA345" s="5"/>
      <c r="HB345" s="5"/>
      <c r="HC345" s="5"/>
      <c r="HD345" s="5"/>
      <c r="HE345" s="5"/>
      <c r="HF345" s="5"/>
      <c r="HG345" s="5"/>
      <c r="HH345" s="5"/>
      <c r="HI345" s="5"/>
      <c r="HJ345" s="5"/>
      <c r="HK345" s="5"/>
      <c r="HL345" s="5"/>
      <c r="HM345" s="5"/>
      <c r="HN345" s="5"/>
      <c r="HO345" s="5"/>
      <c r="HP345" s="5"/>
      <c r="HQ345" s="5"/>
      <c r="HR345" s="5"/>
      <c r="HS345" s="5"/>
      <c r="HT345" s="5"/>
      <c r="HU345" s="5"/>
      <c r="HV345" s="5"/>
      <c r="HW345" s="5"/>
      <c r="HX345" s="5"/>
      <c r="HY345" s="5"/>
      <c r="HZ345" s="5"/>
      <c r="IA345" s="5"/>
      <c r="IB345" s="5"/>
      <c r="IC345" s="5"/>
      <c r="ID345" s="5"/>
      <c r="IE345" s="5"/>
    </row>
    <row r="346" spans="1:239" ht="228" customHeight="1" x14ac:dyDescent="0.45">
      <c r="A346" s="489"/>
      <c r="B346" s="490" t="s">
        <v>615</v>
      </c>
      <c r="C346" s="49" t="s">
        <v>616</v>
      </c>
      <c r="D346" s="487" t="s">
        <v>12</v>
      </c>
      <c r="E346" s="47" t="s">
        <v>19</v>
      </c>
      <c r="F346" s="487" t="s">
        <v>576</v>
      </c>
      <c r="G346" s="44">
        <v>0</v>
      </c>
      <c r="H346" s="44">
        <v>0</v>
      </c>
      <c r="I346" s="547">
        <f>10972.483</f>
        <v>10972.483</v>
      </c>
      <c r="J346" s="44">
        <f>8435.6+2512.2+2604.5</f>
        <v>13552.3</v>
      </c>
      <c r="K346" s="548">
        <v>0</v>
      </c>
      <c r="L346" s="482" t="s">
        <v>617</v>
      </c>
      <c r="M346" s="30"/>
      <c r="N346" s="30"/>
      <c r="O346" s="31">
        <f>+J346-'[1]вересень (2)'!J317</f>
        <v>13552.3</v>
      </c>
      <c r="P346" s="466"/>
      <c r="Q346" s="5"/>
      <c r="R346" s="5"/>
      <c r="S346" s="5"/>
      <c r="T346" s="5"/>
      <c r="U346" s="5"/>
      <c r="V346" s="5"/>
      <c r="W346" s="5"/>
      <c r="X346" s="5"/>
      <c r="Y346" s="5"/>
      <c r="Z346" s="5"/>
      <c r="AA346" s="5"/>
      <c r="AB346" s="5"/>
      <c r="AC346" s="5"/>
      <c r="AD346" s="5"/>
      <c r="AE346" s="5"/>
      <c r="AF346" s="5"/>
      <c r="AG346" s="5"/>
      <c r="AH346" s="5"/>
      <c r="AI346" s="5"/>
      <c r="AJ346" s="5"/>
      <c r="AK346" s="5"/>
      <c r="AL346" s="5"/>
      <c r="AM346" s="5"/>
      <c r="AN346" s="5"/>
      <c r="AO346" s="5"/>
      <c r="AP346" s="5"/>
      <c r="AQ346" s="5"/>
      <c r="AR346" s="5"/>
      <c r="AS346" s="5"/>
      <c r="AT346" s="5"/>
      <c r="AU346" s="5"/>
      <c r="AV346" s="5"/>
      <c r="AW346" s="5"/>
      <c r="AX346" s="5"/>
      <c r="AY346" s="5"/>
      <c r="AZ346" s="5"/>
      <c r="BA346" s="5"/>
      <c r="BB346" s="5"/>
      <c r="BC346" s="5"/>
      <c r="BD346" s="5"/>
      <c r="BE346" s="5"/>
      <c r="BF346" s="5"/>
      <c r="BG346" s="5"/>
      <c r="BH346" s="5"/>
      <c r="BI346" s="5"/>
      <c r="BJ346" s="5"/>
      <c r="BK346" s="5"/>
      <c r="BL346" s="5"/>
      <c r="BM346" s="5"/>
      <c r="BN346" s="5"/>
      <c r="BO346" s="5"/>
      <c r="BP346" s="5"/>
      <c r="BQ346" s="5"/>
      <c r="BR346" s="5"/>
      <c r="BS346" s="5"/>
      <c r="BT346" s="5"/>
      <c r="BU346" s="5"/>
      <c r="BV346" s="5"/>
      <c r="BW346" s="5"/>
      <c r="BX346" s="5"/>
      <c r="BY346" s="5"/>
      <c r="BZ346" s="5"/>
      <c r="CA346" s="5"/>
      <c r="CB346" s="5"/>
      <c r="CC346" s="5"/>
      <c r="CD346" s="5"/>
      <c r="CE346" s="5"/>
      <c r="CF346" s="5"/>
      <c r="CG346" s="5"/>
      <c r="CH346" s="5"/>
      <c r="CI346" s="5"/>
      <c r="CJ346" s="5"/>
      <c r="CK346" s="5"/>
      <c r="CL346" s="5"/>
      <c r="CM346" s="5"/>
      <c r="CN346" s="5"/>
      <c r="CO346" s="5"/>
      <c r="CP346" s="5"/>
      <c r="CQ346" s="5"/>
      <c r="CR346" s="5"/>
      <c r="CS346" s="5"/>
      <c r="CT346" s="5"/>
      <c r="CU346" s="5"/>
      <c r="CV346" s="5"/>
      <c r="CW346" s="5"/>
      <c r="CX346" s="5"/>
      <c r="CY346" s="5"/>
      <c r="CZ346" s="5"/>
      <c r="DA346" s="5"/>
      <c r="DB346" s="5"/>
      <c r="DC346" s="5"/>
      <c r="DD346" s="5"/>
      <c r="DE346" s="5"/>
      <c r="DF346" s="5"/>
      <c r="DG346" s="5"/>
      <c r="DH346" s="5"/>
      <c r="DI346" s="5"/>
      <c r="DJ346" s="5"/>
      <c r="DK346" s="5"/>
      <c r="DL346" s="5"/>
      <c r="DM346" s="5"/>
      <c r="DN346" s="5"/>
      <c r="DO346" s="5"/>
      <c r="DP346" s="5"/>
      <c r="DQ346" s="5"/>
      <c r="DR346" s="5"/>
      <c r="DS346" s="5"/>
      <c r="DT346" s="5"/>
      <c r="DU346" s="5"/>
      <c r="DV346" s="5"/>
      <c r="DW346" s="5"/>
      <c r="DX346" s="5"/>
      <c r="DY346" s="5"/>
      <c r="DZ346" s="5"/>
      <c r="EA346" s="5"/>
      <c r="EB346" s="5"/>
      <c r="EC346" s="5"/>
      <c r="ED346" s="5"/>
      <c r="EE346" s="5"/>
      <c r="EF346" s="5"/>
      <c r="EG346" s="5"/>
      <c r="EH346" s="5"/>
      <c r="EI346" s="5"/>
      <c r="EJ346" s="5"/>
      <c r="EK346" s="5"/>
      <c r="EL346" s="5"/>
      <c r="EM346" s="5"/>
      <c r="EN346" s="5"/>
      <c r="EO346" s="5"/>
      <c r="EP346" s="5"/>
      <c r="EQ346" s="5"/>
      <c r="ER346" s="5"/>
      <c r="ES346" s="5"/>
      <c r="ET346" s="5"/>
      <c r="EU346" s="5"/>
      <c r="EV346" s="5"/>
      <c r="EW346" s="5"/>
      <c r="EX346" s="5"/>
      <c r="EY346" s="5"/>
      <c r="EZ346" s="5"/>
      <c r="FA346" s="5"/>
      <c r="FB346" s="5"/>
      <c r="FC346" s="5"/>
      <c r="FD346" s="5"/>
      <c r="FE346" s="5"/>
      <c r="FF346" s="5"/>
      <c r="FG346" s="5"/>
      <c r="FH346" s="5"/>
      <c r="FI346" s="5"/>
      <c r="FJ346" s="5"/>
      <c r="FK346" s="5"/>
      <c r="FL346" s="5"/>
      <c r="FM346" s="5"/>
      <c r="FN346" s="5"/>
      <c r="FO346" s="5"/>
      <c r="FP346" s="5"/>
      <c r="FQ346" s="5"/>
      <c r="FR346" s="5"/>
      <c r="FS346" s="5"/>
      <c r="FT346" s="5"/>
      <c r="FU346" s="5"/>
      <c r="FV346" s="5"/>
      <c r="FW346" s="5"/>
      <c r="FX346" s="5"/>
      <c r="FY346" s="5"/>
      <c r="FZ346" s="5"/>
      <c r="GA346" s="5"/>
      <c r="GB346" s="5"/>
      <c r="GC346" s="5"/>
      <c r="GD346" s="5"/>
      <c r="GE346" s="5"/>
      <c r="GF346" s="5"/>
      <c r="GG346" s="5"/>
      <c r="GH346" s="5"/>
      <c r="GI346" s="5"/>
      <c r="GJ346" s="5"/>
      <c r="GK346" s="5"/>
      <c r="GL346" s="5"/>
      <c r="GM346" s="5"/>
      <c r="GN346" s="5"/>
      <c r="GO346" s="5"/>
      <c r="GP346" s="5"/>
      <c r="GQ346" s="5"/>
      <c r="GR346" s="5"/>
      <c r="GS346" s="5"/>
      <c r="GT346" s="5"/>
      <c r="GU346" s="5"/>
      <c r="GV346" s="5"/>
      <c r="GW346" s="5"/>
      <c r="GX346" s="5"/>
      <c r="GY346" s="5"/>
      <c r="GZ346" s="5"/>
      <c r="HA346" s="5"/>
      <c r="HB346" s="5"/>
      <c r="HC346" s="5"/>
      <c r="HD346" s="5"/>
      <c r="HE346" s="5"/>
      <c r="HF346" s="5"/>
      <c r="HG346" s="5"/>
      <c r="HH346" s="5"/>
      <c r="HI346" s="5"/>
      <c r="HJ346" s="5"/>
      <c r="HK346" s="5"/>
      <c r="HL346" s="5"/>
      <c r="HM346" s="5"/>
      <c r="HN346" s="5"/>
      <c r="HO346" s="5"/>
      <c r="HP346" s="5"/>
      <c r="HQ346" s="5"/>
      <c r="HR346" s="5"/>
      <c r="HS346" s="5"/>
      <c r="HT346" s="5"/>
      <c r="HU346" s="5"/>
      <c r="HV346" s="5"/>
      <c r="HW346" s="5"/>
      <c r="HX346" s="5"/>
      <c r="HY346" s="5"/>
      <c r="HZ346" s="5"/>
      <c r="IA346" s="5"/>
      <c r="IB346" s="5"/>
      <c r="IC346" s="5"/>
      <c r="ID346" s="5"/>
      <c r="IE346" s="5"/>
    </row>
    <row r="347" spans="1:239" ht="212.25" customHeight="1" x14ac:dyDescent="0.45">
      <c r="A347" s="485"/>
      <c r="B347" s="274" t="s">
        <v>618</v>
      </c>
      <c r="C347" s="49" t="s">
        <v>619</v>
      </c>
      <c r="D347" s="174" t="s">
        <v>12</v>
      </c>
      <c r="E347" s="46" t="s">
        <v>19</v>
      </c>
      <c r="F347" s="174" t="s">
        <v>576</v>
      </c>
      <c r="G347" s="39">
        <v>0</v>
      </c>
      <c r="H347" s="39">
        <v>0</v>
      </c>
      <c r="I347" s="496">
        <f>1495.6+30.2</f>
        <v>1525.8</v>
      </c>
      <c r="J347" s="39">
        <v>0</v>
      </c>
      <c r="K347" s="39">
        <v>0</v>
      </c>
      <c r="L347" s="475" t="s">
        <v>620</v>
      </c>
      <c r="M347" s="30"/>
      <c r="N347" s="30"/>
      <c r="O347" s="31">
        <f>+J347-'[1]вересень (2)'!J318</f>
        <v>0</v>
      </c>
      <c r="P347" s="466"/>
      <c r="Q347" s="5"/>
      <c r="R347" s="5"/>
      <c r="S347" s="5"/>
      <c r="T347" s="5"/>
      <c r="U347" s="5"/>
      <c r="V347" s="5"/>
      <c r="W347" s="5"/>
      <c r="X347" s="5"/>
      <c r="Y347" s="5"/>
      <c r="Z347" s="5"/>
      <c r="AA347" s="5"/>
      <c r="AB347" s="5"/>
      <c r="AC347" s="5"/>
      <c r="AD347" s="5"/>
      <c r="AE347" s="5"/>
      <c r="AF347" s="5"/>
      <c r="AG347" s="5"/>
      <c r="AH347" s="5"/>
      <c r="AI347" s="5"/>
      <c r="AJ347" s="5"/>
      <c r="AK347" s="5"/>
      <c r="AL347" s="5"/>
      <c r="AM347" s="5"/>
      <c r="AN347" s="5"/>
      <c r="AO347" s="5"/>
      <c r="AP347" s="5"/>
      <c r="AQ347" s="5"/>
      <c r="AR347" s="5"/>
      <c r="AS347" s="5"/>
      <c r="AT347" s="5"/>
      <c r="AU347" s="5"/>
      <c r="AV347" s="5"/>
      <c r="AW347" s="5"/>
      <c r="AX347" s="5"/>
      <c r="AY347" s="5"/>
      <c r="AZ347" s="5"/>
      <c r="BA347" s="5"/>
      <c r="BB347" s="5"/>
      <c r="BC347" s="5"/>
      <c r="BD347" s="5"/>
      <c r="BE347" s="5"/>
      <c r="BF347" s="5"/>
      <c r="BG347" s="5"/>
      <c r="BH347" s="5"/>
      <c r="BI347" s="5"/>
      <c r="BJ347" s="5"/>
      <c r="BK347" s="5"/>
      <c r="BL347" s="5"/>
      <c r="BM347" s="5"/>
      <c r="BN347" s="5"/>
      <c r="BO347" s="5"/>
      <c r="BP347" s="5"/>
      <c r="BQ347" s="5"/>
      <c r="BR347" s="5"/>
      <c r="BS347" s="5"/>
      <c r="BT347" s="5"/>
      <c r="BU347" s="5"/>
      <c r="BV347" s="5"/>
      <c r="BW347" s="5"/>
      <c r="BX347" s="5"/>
      <c r="BY347" s="5"/>
      <c r="BZ347" s="5"/>
      <c r="CA347" s="5"/>
      <c r="CB347" s="5"/>
      <c r="CC347" s="5"/>
      <c r="CD347" s="5"/>
      <c r="CE347" s="5"/>
      <c r="CF347" s="5"/>
      <c r="CG347" s="5"/>
      <c r="CH347" s="5"/>
      <c r="CI347" s="5"/>
      <c r="CJ347" s="5"/>
      <c r="CK347" s="5"/>
      <c r="CL347" s="5"/>
      <c r="CM347" s="5"/>
      <c r="CN347" s="5"/>
      <c r="CO347" s="5"/>
      <c r="CP347" s="5"/>
      <c r="CQ347" s="5"/>
      <c r="CR347" s="5"/>
      <c r="CS347" s="5"/>
      <c r="CT347" s="5"/>
      <c r="CU347" s="5"/>
      <c r="CV347" s="5"/>
      <c r="CW347" s="5"/>
      <c r="CX347" s="5"/>
      <c r="CY347" s="5"/>
      <c r="CZ347" s="5"/>
      <c r="DA347" s="5"/>
      <c r="DB347" s="5"/>
      <c r="DC347" s="5"/>
      <c r="DD347" s="5"/>
      <c r="DE347" s="5"/>
      <c r="DF347" s="5"/>
      <c r="DG347" s="5"/>
      <c r="DH347" s="5"/>
      <c r="DI347" s="5"/>
      <c r="DJ347" s="5"/>
      <c r="DK347" s="5"/>
      <c r="DL347" s="5"/>
      <c r="DM347" s="5"/>
      <c r="DN347" s="5"/>
      <c r="DO347" s="5"/>
      <c r="DP347" s="5"/>
      <c r="DQ347" s="5"/>
      <c r="DR347" s="5"/>
      <c r="DS347" s="5"/>
      <c r="DT347" s="5"/>
      <c r="DU347" s="5"/>
      <c r="DV347" s="5"/>
      <c r="DW347" s="5"/>
      <c r="DX347" s="5"/>
      <c r="DY347" s="5"/>
      <c r="DZ347" s="5"/>
      <c r="EA347" s="5"/>
      <c r="EB347" s="5"/>
      <c r="EC347" s="5"/>
      <c r="ED347" s="5"/>
      <c r="EE347" s="5"/>
      <c r="EF347" s="5"/>
      <c r="EG347" s="5"/>
      <c r="EH347" s="5"/>
      <c r="EI347" s="5"/>
      <c r="EJ347" s="5"/>
      <c r="EK347" s="5"/>
      <c r="EL347" s="5"/>
      <c r="EM347" s="5"/>
      <c r="EN347" s="5"/>
      <c r="EO347" s="5"/>
      <c r="EP347" s="5"/>
      <c r="EQ347" s="5"/>
      <c r="ER347" s="5"/>
      <c r="ES347" s="5"/>
      <c r="ET347" s="5"/>
      <c r="EU347" s="5"/>
      <c r="EV347" s="5"/>
      <c r="EW347" s="5"/>
      <c r="EX347" s="5"/>
      <c r="EY347" s="5"/>
      <c r="EZ347" s="5"/>
      <c r="FA347" s="5"/>
      <c r="FB347" s="5"/>
      <c r="FC347" s="5"/>
      <c r="FD347" s="5"/>
      <c r="FE347" s="5"/>
      <c r="FF347" s="5"/>
      <c r="FG347" s="5"/>
      <c r="FH347" s="5"/>
      <c r="FI347" s="5"/>
      <c r="FJ347" s="5"/>
      <c r="FK347" s="5"/>
      <c r="FL347" s="5"/>
      <c r="FM347" s="5"/>
      <c r="FN347" s="5"/>
      <c r="FO347" s="5"/>
      <c r="FP347" s="5"/>
      <c r="FQ347" s="5"/>
      <c r="FR347" s="5"/>
      <c r="FS347" s="5"/>
      <c r="FT347" s="5"/>
      <c r="FU347" s="5"/>
      <c r="FV347" s="5"/>
      <c r="FW347" s="5"/>
      <c r="FX347" s="5"/>
      <c r="FY347" s="5"/>
      <c r="FZ347" s="5"/>
      <c r="GA347" s="5"/>
      <c r="GB347" s="5"/>
      <c r="GC347" s="5"/>
      <c r="GD347" s="5"/>
      <c r="GE347" s="5"/>
      <c r="GF347" s="5"/>
      <c r="GG347" s="5"/>
      <c r="GH347" s="5"/>
      <c r="GI347" s="5"/>
      <c r="GJ347" s="5"/>
      <c r="GK347" s="5"/>
      <c r="GL347" s="5"/>
      <c r="GM347" s="5"/>
      <c r="GN347" s="5"/>
      <c r="GO347" s="5"/>
      <c r="GP347" s="5"/>
      <c r="GQ347" s="5"/>
      <c r="GR347" s="5"/>
      <c r="GS347" s="5"/>
      <c r="GT347" s="5"/>
      <c r="GU347" s="5"/>
      <c r="GV347" s="5"/>
      <c r="GW347" s="5"/>
      <c r="GX347" s="5"/>
      <c r="GY347" s="5"/>
      <c r="GZ347" s="5"/>
      <c r="HA347" s="5"/>
      <c r="HB347" s="5"/>
      <c r="HC347" s="5"/>
      <c r="HD347" s="5"/>
      <c r="HE347" s="5"/>
      <c r="HF347" s="5"/>
      <c r="HG347" s="5"/>
      <c r="HH347" s="5"/>
      <c r="HI347" s="5"/>
      <c r="HJ347" s="5"/>
      <c r="HK347" s="5"/>
      <c r="HL347" s="5"/>
      <c r="HM347" s="5"/>
      <c r="HN347" s="5"/>
      <c r="HO347" s="5"/>
      <c r="HP347" s="5"/>
      <c r="HQ347" s="5"/>
      <c r="HR347" s="5"/>
      <c r="HS347" s="5"/>
      <c r="HT347" s="5"/>
      <c r="HU347" s="5"/>
      <c r="HV347" s="5"/>
      <c r="HW347" s="5"/>
      <c r="HX347" s="5"/>
      <c r="HY347" s="5"/>
      <c r="HZ347" s="5"/>
      <c r="IA347" s="5"/>
      <c r="IB347" s="5"/>
      <c r="IC347" s="5"/>
      <c r="ID347" s="5"/>
      <c r="IE347" s="5"/>
    </row>
    <row r="348" spans="1:239" ht="216" customHeight="1" x14ac:dyDescent="0.45">
      <c r="A348" s="485"/>
      <c r="B348" s="274"/>
      <c r="C348" s="49" t="s">
        <v>621</v>
      </c>
      <c r="D348" s="174" t="s">
        <v>13</v>
      </c>
      <c r="E348" s="46" t="s">
        <v>19</v>
      </c>
      <c r="F348" s="174" t="s">
        <v>576</v>
      </c>
      <c r="G348" s="39"/>
      <c r="H348" s="39"/>
      <c r="I348" s="496"/>
      <c r="J348" s="39">
        <v>1043.9000000000001</v>
      </c>
      <c r="K348" s="39"/>
      <c r="L348" s="475" t="s">
        <v>620</v>
      </c>
      <c r="M348" s="30"/>
      <c r="N348" s="30"/>
      <c r="O348" s="31"/>
      <c r="P348" s="466"/>
      <c r="Q348" s="5"/>
      <c r="R348" s="5"/>
      <c r="S348" s="5"/>
      <c r="T348" s="5"/>
      <c r="U348" s="5"/>
      <c r="V348" s="5"/>
      <c r="W348" s="5"/>
      <c r="X348" s="5"/>
      <c r="Y348" s="5"/>
      <c r="Z348" s="5"/>
      <c r="AA348" s="5"/>
      <c r="AB348" s="5"/>
      <c r="AC348" s="5"/>
      <c r="AD348" s="5"/>
      <c r="AE348" s="5"/>
      <c r="AF348" s="5"/>
      <c r="AG348" s="5"/>
      <c r="AH348" s="5"/>
      <c r="AI348" s="5"/>
      <c r="AJ348" s="5"/>
      <c r="AK348" s="5"/>
      <c r="AL348" s="5"/>
      <c r="AM348" s="5"/>
      <c r="AN348" s="5"/>
      <c r="AO348" s="5"/>
      <c r="AP348" s="5"/>
      <c r="AQ348" s="5"/>
      <c r="AR348" s="5"/>
      <c r="AS348" s="5"/>
      <c r="AT348" s="5"/>
      <c r="AU348" s="5"/>
      <c r="AV348" s="5"/>
      <c r="AW348" s="5"/>
      <c r="AX348" s="5"/>
      <c r="AY348" s="5"/>
      <c r="AZ348" s="5"/>
      <c r="BA348" s="5"/>
      <c r="BB348" s="5"/>
      <c r="BC348" s="5"/>
      <c r="BD348" s="5"/>
      <c r="BE348" s="5"/>
      <c r="BF348" s="5"/>
      <c r="BG348" s="5"/>
      <c r="BH348" s="5"/>
      <c r="BI348" s="5"/>
      <c r="BJ348" s="5"/>
      <c r="BK348" s="5"/>
      <c r="BL348" s="5"/>
      <c r="BM348" s="5"/>
      <c r="BN348" s="5"/>
      <c r="BO348" s="5"/>
      <c r="BP348" s="5"/>
      <c r="BQ348" s="5"/>
      <c r="BR348" s="5"/>
      <c r="BS348" s="5"/>
      <c r="BT348" s="5"/>
      <c r="BU348" s="5"/>
      <c r="BV348" s="5"/>
      <c r="BW348" s="5"/>
      <c r="BX348" s="5"/>
      <c r="BY348" s="5"/>
      <c r="BZ348" s="5"/>
      <c r="CA348" s="5"/>
      <c r="CB348" s="5"/>
      <c r="CC348" s="5"/>
      <c r="CD348" s="5"/>
      <c r="CE348" s="5"/>
      <c r="CF348" s="5"/>
      <c r="CG348" s="5"/>
      <c r="CH348" s="5"/>
      <c r="CI348" s="5"/>
      <c r="CJ348" s="5"/>
      <c r="CK348" s="5"/>
      <c r="CL348" s="5"/>
      <c r="CM348" s="5"/>
      <c r="CN348" s="5"/>
      <c r="CO348" s="5"/>
      <c r="CP348" s="5"/>
      <c r="CQ348" s="5"/>
      <c r="CR348" s="5"/>
      <c r="CS348" s="5"/>
      <c r="CT348" s="5"/>
      <c r="CU348" s="5"/>
      <c r="CV348" s="5"/>
      <c r="CW348" s="5"/>
      <c r="CX348" s="5"/>
      <c r="CY348" s="5"/>
      <c r="CZ348" s="5"/>
      <c r="DA348" s="5"/>
      <c r="DB348" s="5"/>
      <c r="DC348" s="5"/>
      <c r="DD348" s="5"/>
      <c r="DE348" s="5"/>
      <c r="DF348" s="5"/>
      <c r="DG348" s="5"/>
      <c r="DH348" s="5"/>
      <c r="DI348" s="5"/>
      <c r="DJ348" s="5"/>
      <c r="DK348" s="5"/>
      <c r="DL348" s="5"/>
      <c r="DM348" s="5"/>
      <c r="DN348" s="5"/>
      <c r="DO348" s="5"/>
      <c r="DP348" s="5"/>
      <c r="DQ348" s="5"/>
      <c r="DR348" s="5"/>
      <c r="DS348" s="5"/>
      <c r="DT348" s="5"/>
      <c r="DU348" s="5"/>
      <c r="DV348" s="5"/>
      <c r="DW348" s="5"/>
      <c r="DX348" s="5"/>
      <c r="DY348" s="5"/>
      <c r="DZ348" s="5"/>
      <c r="EA348" s="5"/>
      <c r="EB348" s="5"/>
      <c r="EC348" s="5"/>
      <c r="ED348" s="5"/>
      <c r="EE348" s="5"/>
      <c r="EF348" s="5"/>
      <c r="EG348" s="5"/>
      <c r="EH348" s="5"/>
      <c r="EI348" s="5"/>
      <c r="EJ348" s="5"/>
      <c r="EK348" s="5"/>
      <c r="EL348" s="5"/>
      <c r="EM348" s="5"/>
      <c r="EN348" s="5"/>
      <c r="EO348" s="5"/>
      <c r="EP348" s="5"/>
      <c r="EQ348" s="5"/>
      <c r="ER348" s="5"/>
      <c r="ES348" s="5"/>
      <c r="ET348" s="5"/>
      <c r="EU348" s="5"/>
      <c r="EV348" s="5"/>
      <c r="EW348" s="5"/>
      <c r="EX348" s="5"/>
      <c r="EY348" s="5"/>
      <c r="EZ348" s="5"/>
      <c r="FA348" s="5"/>
      <c r="FB348" s="5"/>
      <c r="FC348" s="5"/>
      <c r="FD348" s="5"/>
      <c r="FE348" s="5"/>
      <c r="FF348" s="5"/>
      <c r="FG348" s="5"/>
      <c r="FH348" s="5"/>
      <c r="FI348" s="5"/>
      <c r="FJ348" s="5"/>
      <c r="FK348" s="5"/>
      <c r="FL348" s="5"/>
      <c r="FM348" s="5"/>
      <c r="FN348" s="5"/>
      <c r="FO348" s="5"/>
      <c r="FP348" s="5"/>
      <c r="FQ348" s="5"/>
      <c r="FR348" s="5"/>
      <c r="FS348" s="5"/>
      <c r="FT348" s="5"/>
      <c r="FU348" s="5"/>
      <c r="FV348" s="5"/>
      <c r="FW348" s="5"/>
      <c r="FX348" s="5"/>
      <c r="FY348" s="5"/>
      <c r="FZ348" s="5"/>
      <c r="GA348" s="5"/>
      <c r="GB348" s="5"/>
      <c r="GC348" s="5"/>
      <c r="GD348" s="5"/>
      <c r="GE348" s="5"/>
      <c r="GF348" s="5"/>
      <c r="GG348" s="5"/>
      <c r="GH348" s="5"/>
      <c r="GI348" s="5"/>
      <c r="GJ348" s="5"/>
      <c r="GK348" s="5"/>
      <c r="GL348" s="5"/>
      <c r="GM348" s="5"/>
      <c r="GN348" s="5"/>
      <c r="GO348" s="5"/>
      <c r="GP348" s="5"/>
      <c r="GQ348" s="5"/>
      <c r="GR348" s="5"/>
      <c r="GS348" s="5"/>
      <c r="GT348" s="5"/>
      <c r="GU348" s="5"/>
      <c r="GV348" s="5"/>
      <c r="GW348" s="5"/>
      <c r="GX348" s="5"/>
      <c r="GY348" s="5"/>
      <c r="GZ348" s="5"/>
      <c r="HA348" s="5"/>
      <c r="HB348" s="5"/>
      <c r="HC348" s="5"/>
      <c r="HD348" s="5"/>
      <c r="HE348" s="5"/>
      <c r="HF348" s="5"/>
      <c r="HG348" s="5"/>
      <c r="HH348" s="5"/>
      <c r="HI348" s="5"/>
      <c r="HJ348" s="5"/>
      <c r="HK348" s="5"/>
      <c r="HL348" s="5"/>
      <c r="HM348" s="5"/>
      <c r="HN348" s="5"/>
      <c r="HO348" s="5"/>
      <c r="HP348" s="5"/>
      <c r="HQ348" s="5"/>
      <c r="HR348" s="5"/>
      <c r="HS348" s="5"/>
      <c r="HT348" s="5"/>
      <c r="HU348" s="5"/>
      <c r="HV348" s="5"/>
      <c r="HW348" s="5"/>
      <c r="HX348" s="5"/>
      <c r="HY348" s="5"/>
      <c r="HZ348" s="5"/>
      <c r="IA348" s="5"/>
      <c r="IB348" s="5"/>
      <c r="IC348" s="5"/>
      <c r="ID348" s="5"/>
      <c r="IE348" s="5"/>
    </row>
    <row r="349" spans="1:239" ht="367.5" customHeight="1" x14ac:dyDescent="0.45">
      <c r="A349" s="485"/>
      <c r="B349" s="274" t="s">
        <v>622</v>
      </c>
      <c r="C349" s="49" t="s">
        <v>623</v>
      </c>
      <c r="D349" s="174" t="s">
        <v>624</v>
      </c>
      <c r="E349" s="46" t="s">
        <v>19</v>
      </c>
      <c r="F349" s="174" t="s">
        <v>625</v>
      </c>
      <c r="G349" s="39">
        <v>0</v>
      </c>
      <c r="H349" s="39">
        <v>0</v>
      </c>
      <c r="I349" s="496">
        <v>17355.47</v>
      </c>
      <c r="J349" s="39">
        <f>1419.9+3045.6</f>
        <v>4465.5</v>
      </c>
      <c r="K349" s="39">
        <v>0</v>
      </c>
      <c r="L349" s="475" t="s">
        <v>626</v>
      </c>
      <c r="M349" s="30"/>
      <c r="N349" s="30"/>
      <c r="O349" s="31">
        <f>+J349-'[1]вересень (2)'!J319</f>
        <v>4465.5</v>
      </c>
      <c r="P349" s="466"/>
      <c r="Q349" s="5"/>
      <c r="R349" s="5"/>
      <c r="S349" s="5"/>
      <c r="T349" s="5"/>
      <c r="U349" s="5"/>
      <c r="V349" s="5"/>
      <c r="W349" s="5"/>
      <c r="X349" s="5"/>
      <c r="Y349" s="5"/>
      <c r="Z349" s="5"/>
      <c r="AA349" s="5"/>
      <c r="AB349" s="5"/>
      <c r="AC349" s="5"/>
      <c r="AD349" s="5"/>
      <c r="AE349" s="5"/>
      <c r="AF349" s="5"/>
      <c r="AG349" s="5"/>
      <c r="AH349" s="5"/>
      <c r="AI349" s="5"/>
      <c r="AJ349" s="5"/>
      <c r="AK349" s="5"/>
      <c r="AL349" s="5"/>
      <c r="AM349" s="5"/>
      <c r="AN349" s="5"/>
      <c r="AO349" s="5"/>
      <c r="AP349" s="5"/>
      <c r="AQ349" s="5"/>
      <c r="AR349" s="5"/>
      <c r="AS349" s="5"/>
      <c r="AT349" s="5"/>
      <c r="AU349" s="5"/>
      <c r="AV349" s="5"/>
      <c r="AW349" s="5"/>
      <c r="AX349" s="5"/>
      <c r="AY349" s="5"/>
      <c r="AZ349" s="5"/>
      <c r="BA349" s="5"/>
      <c r="BB349" s="5"/>
      <c r="BC349" s="5"/>
      <c r="BD349" s="5"/>
      <c r="BE349" s="5"/>
      <c r="BF349" s="5"/>
      <c r="BG349" s="5"/>
      <c r="BH349" s="5"/>
      <c r="BI349" s="5"/>
      <c r="BJ349" s="5"/>
      <c r="BK349" s="5"/>
      <c r="BL349" s="5"/>
      <c r="BM349" s="5"/>
      <c r="BN349" s="5"/>
      <c r="BO349" s="5"/>
      <c r="BP349" s="5"/>
      <c r="BQ349" s="5"/>
      <c r="BR349" s="5"/>
      <c r="BS349" s="5"/>
      <c r="BT349" s="5"/>
      <c r="BU349" s="5"/>
      <c r="BV349" s="5"/>
      <c r="BW349" s="5"/>
      <c r="BX349" s="5"/>
      <c r="BY349" s="5"/>
      <c r="BZ349" s="5"/>
      <c r="CA349" s="5"/>
      <c r="CB349" s="5"/>
      <c r="CC349" s="5"/>
      <c r="CD349" s="5"/>
      <c r="CE349" s="5"/>
      <c r="CF349" s="5"/>
      <c r="CG349" s="5"/>
      <c r="CH349" s="5"/>
      <c r="CI349" s="5"/>
      <c r="CJ349" s="5"/>
      <c r="CK349" s="5"/>
      <c r="CL349" s="5"/>
      <c r="CM349" s="5"/>
      <c r="CN349" s="5"/>
      <c r="CO349" s="5"/>
      <c r="CP349" s="5"/>
      <c r="CQ349" s="5"/>
      <c r="CR349" s="5"/>
      <c r="CS349" s="5"/>
      <c r="CT349" s="5"/>
      <c r="CU349" s="5"/>
      <c r="CV349" s="5"/>
      <c r="CW349" s="5"/>
      <c r="CX349" s="5"/>
      <c r="CY349" s="5"/>
      <c r="CZ349" s="5"/>
      <c r="DA349" s="5"/>
      <c r="DB349" s="5"/>
      <c r="DC349" s="5"/>
      <c r="DD349" s="5"/>
      <c r="DE349" s="5"/>
      <c r="DF349" s="5"/>
      <c r="DG349" s="5"/>
      <c r="DH349" s="5"/>
      <c r="DI349" s="5"/>
      <c r="DJ349" s="5"/>
      <c r="DK349" s="5"/>
      <c r="DL349" s="5"/>
      <c r="DM349" s="5"/>
      <c r="DN349" s="5"/>
      <c r="DO349" s="5"/>
      <c r="DP349" s="5"/>
      <c r="DQ349" s="5"/>
      <c r="DR349" s="5"/>
      <c r="DS349" s="5"/>
      <c r="DT349" s="5"/>
      <c r="DU349" s="5"/>
      <c r="DV349" s="5"/>
      <c r="DW349" s="5"/>
      <c r="DX349" s="5"/>
      <c r="DY349" s="5"/>
      <c r="DZ349" s="5"/>
      <c r="EA349" s="5"/>
      <c r="EB349" s="5"/>
      <c r="EC349" s="5"/>
      <c r="ED349" s="5"/>
      <c r="EE349" s="5"/>
      <c r="EF349" s="5"/>
      <c r="EG349" s="5"/>
      <c r="EH349" s="5"/>
      <c r="EI349" s="5"/>
      <c r="EJ349" s="5"/>
      <c r="EK349" s="5"/>
      <c r="EL349" s="5"/>
      <c r="EM349" s="5"/>
      <c r="EN349" s="5"/>
      <c r="EO349" s="5"/>
      <c r="EP349" s="5"/>
      <c r="EQ349" s="5"/>
      <c r="ER349" s="5"/>
      <c r="ES349" s="5"/>
      <c r="ET349" s="5"/>
      <c r="EU349" s="5"/>
      <c r="EV349" s="5"/>
      <c r="EW349" s="5"/>
      <c r="EX349" s="5"/>
      <c r="EY349" s="5"/>
      <c r="EZ349" s="5"/>
      <c r="FA349" s="5"/>
      <c r="FB349" s="5"/>
      <c r="FC349" s="5"/>
      <c r="FD349" s="5"/>
      <c r="FE349" s="5"/>
      <c r="FF349" s="5"/>
      <c r="FG349" s="5"/>
      <c r="FH349" s="5"/>
      <c r="FI349" s="5"/>
      <c r="FJ349" s="5"/>
      <c r="FK349" s="5"/>
      <c r="FL349" s="5"/>
      <c r="FM349" s="5"/>
      <c r="FN349" s="5"/>
      <c r="FO349" s="5"/>
      <c r="FP349" s="5"/>
      <c r="FQ349" s="5"/>
      <c r="FR349" s="5"/>
      <c r="FS349" s="5"/>
      <c r="FT349" s="5"/>
      <c r="FU349" s="5"/>
      <c r="FV349" s="5"/>
      <c r="FW349" s="5"/>
      <c r="FX349" s="5"/>
      <c r="FY349" s="5"/>
      <c r="FZ349" s="5"/>
      <c r="GA349" s="5"/>
      <c r="GB349" s="5"/>
      <c r="GC349" s="5"/>
      <c r="GD349" s="5"/>
      <c r="GE349" s="5"/>
      <c r="GF349" s="5"/>
      <c r="GG349" s="5"/>
      <c r="GH349" s="5"/>
      <c r="GI349" s="5"/>
      <c r="GJ349" s="5"/>
      <c r="GK349" s="5"/>
      <c r="GL349" s="5"/>
      <c r="GM349" s="5"/>
      <c r="GN349" s="5"/>
      <c r="GO349" s="5"/>
      <c r="GP349" s="5"/>
      <c r="GQ349" s="5"/>
      <c r="GR349" s="5"/>
      <c r="GS349" s="5"/>
      <c r="GT349" s="5"/>
      <c r="GU349" s="5"/>
      <c r="GV349" s="5"/>
      <c r="GW349" s="5"/>
      <c r="GX349" s="5"/>
      <c r="GY349" s="5"/>
      <c r="GZ349" s="5"/>
      <c r="HA349" s="5"/>
      <c r="HB349" s="5"/>
      <c r="HC349" s="5"/>
      <c r="HD349" s="5"/>
      <c r="HE349" s="5"/>
      <c r="HF349" s="5"/>
      <c r="HG349" s="5"/>
      <c r="HH349" s="5"/>
      <c r="HI349" s="5"/>
      <c r="HJ349" s="5"/>
      <c r="HK349" s="5"/>
      <c r="HL349" s="5"/>
      <c r="HM349" s="5"/>
      <c r="HN349" s="5"/>
      <c r="HO349" s="5"/>
      <c r="HP349" s="5"/>
      <c r="HQ349" s="5"/>
      <c r="HR349" s="5"/>
      <c r="HS349" s="5"/>
      <c r="HT349" s="5"/>
      <c r="HU349" s="5"/>
      <c r="HV349" s="5"/>
      <c r="HW349" s="5"/>
      <c r="HX349" s="5"/>
      <c r="HY349" s="5"/>
      <c r="HZ349" s="5"/>
      <c r="IA349" s="5"/>
      <c r="IB349" s="5"/>
      <c r="IC349" s="5"/>
      <c r="ID349" s="5"/>
      <c r="IE349" s="5"/>
    </row>
    <row r="350" spans="1:239" ht="127.5" customHeight="1" x14ac:dyDescent="0.45">
      <c r="A350" s="485"/>
      <c r="B350" s="274"/>
      <c r="C350" s="30" t="s">
        <v>627</v>
      </c>
      <c r="D350" s="174" t="s">
        <v>13</v>
      </c>
      <c r="E350" s="46" t="s">
        <v>19</v>
      </c>
      <c r="F350" s="174" t="s">
        <v>625</v>
      </c>
      <c r="G350" s="39">
        <v>0</v>
      </c>
      <c r="H350" s="39">
        <v>0</v>
      </c>
      <c r="I350" s="496">
        <v>0</v>
      </c>
      <c r="J350" s="39">
        <f>5911.8+12212.5</f>
        <v>18124.3</v>
      </c>
      <c r="K350" s="39">
        <v>0</v>
      </c>
      <c r="L350" s="475" t="s">
        <v>626</v>
      </c>
      <c r="M350" s="30"/>
      <c r="N350" s="30"/>
      <c r="O350" s="31"/>
      <c r="P350" s="466"/>
      <c r="Q350" s="5"/>
      <c r="R350" s="5"/>
      <c r="S350" s="5"/>
      <c r="T350" s="5"/>
      <c r="U350" s="5"/>
      <c r="V350" s="5"/>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s="5"/>
      <c r="BI350" s="5"/>
      <c r="BJ350" s="5"/>
      <c r="BK350" s="5"/>
      <c r="BL350" s="5"/>
      <c r="BM350" s="5"/>
      <c r="BN350" s="5"/>
      <c r="BO350" s="5"/>
      <c r="BP350" s="5"/>
      <c r="BQ350" s="5"/>
      <c r="BR350" s="5"/>
      <c r="BS350" s="5"/>
      <c r="BT350" s="5"/>
      <c r="BU350" s="5"/>
      <c r="BV350" s="5"/>
      <c r="BW350" s="5"/>
      <c r="BX350" s="5"/>
      <c r="BY350" s="5"/>
      <c r="BZ350" s="5"/>
      <c r="CA350" s="5"/>
      <c r="CB350" s="5"/>
      <c r="CC350" s="5"/>
      <c r="CD350" s="5"/>
      <c r="CE350" s="5"/>
      <c r="CF350" s="5"/>
      <c r="CG350" s="5"/>
      <c r="CH350" s="5"/>
      <c r="CI350" s="5"/>
      <c r="CJ350" s="5"/>
      <c r="CK350" s="5"/>
      <c r="CL350" s="5"/>
      <c r="CM350" s="5"/>
      <c r="CN350" s="5"/>
      <c r="CO350" s="5"/>
      <c r="CP350" s="5"/>
      <c r="CQ350" s="5"/>
      <c r="CR350" s="5"/>
      <c r="CS350" s="5"/>
      <c r="CT350" s="5"/>
      <c r="CU350" s="5"/>
      <c r="CV350" s="5"/>
      <c r="CW350" s="5"/>
      <c r="CX350" s="5"/>
      <c r="CY350" s="5"/>
      <c r="CZ350" s="5"/>
      <c r="DA350" s="5"/>
      <c r="DB350" s="5"/>
      <c r="DC350" s="5"/>
      <c r="DD350" s="5"/>
      <c r="DE350" s="5"/>
      <c r="DF350" s="5"/>
      <c r="DG350" s="5"/>
      <c r="DH350" s="5"/>
      <c r="DI350" s="5"/>
      <c r="DJ350" s="5"/>
      <c r="DK350" s="5"/>
      <c r="DL350" s="5"/>
      <c r="DM350" s="5"/>
      <c r="DN350" s="5"/>
      <c r="DO350" s="5"/>
      <c r="DP350" s="5"/>
      <c r="DQ350" s="5"/>
      <c r="DR350" s="5"/>
      <c r="DS350" s="5"/>
      <c r="DT350" s="5"/>
      <c r="DU350" s="5"/>
      <c r="DV350" s="5"/>
      <c r="DW350" s="5"/>
      <c r="DX350" s="5"/>
      <c r="DY350" s="5"/>
      <c r="DZ350" s="5"/>
      <c r="EA350" s="5"/>
      <c r="EB350" s="5"/>
      <c r="EC350" s="5"/>
      <c r="ED350" s="5"/>
      <c r="EE350" s="5"/>
      <c r="EF350" s="5"/>
      <c r="EG350" s="5"/>
      <c r="EH350" s="5"/>
      <c r="EI350" s="5"/>
      <c r="EJ350" s="5"/>
      <c r="EK350" s="5"/>
      <c r="EL350" s="5"/>
      <c r="EM350" s="5"/>
      <c r="EN350" s="5"/>
      <c r="EO350" s="5"/>
      <c r="EP350" s="5"/>
      <c r="EQ350" s="5"/>
      <c r="ER350" s="5"/>
      <c r="ES350" s="5"/>
      <c r="ET350" s="5"/>
      <c r="EU350" s="5"/>
      <c r="EV350" s="5"/>
      <c r="EW350" s="5"/>
      <c r="EX350" s="5"/>
      <c r="EY350" s="5"/>
      <c r="EZ350" s="5"/>
      <c r="FA350" s="5"/>
      <c r="FB350" s="5"/>
      <c r="FC350" s="5"/>
      <c r="FD350" s="5"/>
      <c r="FE350" s="5"/>
      <c r="FF350" s="5"/>
      <c r="FG350" s="5"/>
      <c r="FH350" s="5"/>
      <c r="FI350" s="5"/>
      <c r="FJ350" s="5"/>
      <c r="FK350" s="5"/>
      <c r="FL350" s="5"/>
      <c r="FM350" s="5"/>
      <c r="FN350" s="5"/>
      <c r="FO350" s="5"/>
      <c r="FP350" s="5"/>
      <c r="FQ350" s="5"/>
      <c r="FR350" s="5"/>
      <c r="FS350" s="5"/>
      <c r="FT350" s="5"/>
      <c r="FU350" s="5"/>
      <c r="FV350" s="5"/>
      <c r="FW350" s="5"/>
      <c r="FX350" s="5"/>
      <c r="FY350" s="5"/>
      <c r="FZ350" s="5"/>
      <c r="GA350" s="5"/>
      <c r="GB350" s="5"/>
      <c r="GC350" s="5"/>
      <c r="GD350" s="5"/>
      <c r="GE350" s="5"/>
      <c r="GF350" s="5"/>
      <c r="GG350" s="5"/>
      <c r="GH350" s="5"/>
      <c r="GI350" s="5"/>
      <c r="GJ350" s="5"/>
      <c r="GK350" s="5"/>
      <c r="GL350" s="5"/>
      <c r="GM350" s="5"/>
      <c r="GN350" s="5"/>
      <c r="GO350" s="5"/>
      <c r="GP350" s="5"/>
      <c r="GQ350" s="5"/>
      <c r="GR350" s="5"/>
      <c r="GS350" s="5"/>
      <c r="GT350" s="5"/>
      <c r="GU350" s="5"/>
      <c r="GV350" s="5"/>
      <c r="GW350" s="5"/>
      <c r="GX350" s="5"/>
      <c r="GY350" s="5"/>
      <c r="GZ350" s="5"/>
      <c r="HA350" s="5"/>
      <c r="HB350" s="5"/>
      <c r="HC350" s="5"/>
      <c r="HD350" s="5"/>
      <c r="HE350" s="5"/>
      <c r="HF350" s="5"/>
      <c r="HG350" s="5"/>
      <c r="HH350" s="5"/>
      <c r="HI350" s="5"/>
      <c r="HJ350" s="5"/>
      <c r="HK350" s="5"/>
      <c r="HL350" s="5"/>
      <c r="HM350" s="5"/>
      <c r="HN350" s="5"/>
      <c r="HO350" s="5"/>
      <c r="HP350" s="5"/>
      <c r="HQ350" s="5"/>
      <c r="HR350" s="5"/>
      <c r="HS350" s="5"/>
      <c r="HT350" s="5"/>
      <c r="HU350" s="5"/>
      <c r="HV350" s="5"/>
      <c r="HW350" s="5"/>
      <c r="HX350" s="5"/>
      <c r="HY350" s="5"/>
      <c r="HZ350" s="5"/>
      <c r="IA350" s="5"/>
      <c r="IB350" s="5"/>
      <c r="IC350" s="5"/>
      <c r="ID350" s="5"/>
      <c r="IE350" s="5"/>
    </row>
    <row r="351" spans="1:239" ht="244.5" customHeight="1" x14ac:dyDescent="0.45">
      <c r="A351" s="485"/>
      <c r="B351" s="274" t="s">
        <v>628</v>
      </c>
      <c r="C351" s="257" t="s">
        <v>629</v>
      </c>
      <c r="D351" s="174" t="s">
        <v>13</v>
      </c>
      <c r="E351" s="46" t="s">
        <v>19</v>
      </c>
      <c r="F351" s="174"/>
      <c r="G351" s="39"/>
      <c r="H351" s="39"/>
      <c r="I351" s="496"/>
      <c r="J351" s="39">
        <v>1578.3</v>
      </c>
      <c r="K351" s="39"/>
      <c r="L351" s="112" t="s">
        <v>630</v>
      </c>
      <c r="M351" s="30"/>
      <c r="N351" s="30"/>
      <c r="O351" s="31"/>
      <c r="P351" s="466"/>
      <c r="Q351" s="5"/>
      <c r="R351" s="5"/>
      <c r="S351" s="5"/>
      <c r="T351" s="5"/>
      <c r="U351" s="5"/>
      <c r="V351" s="5"/>
      <c r="W351" s="5"/>
      <c r="X351" s="5"/>
      <c r="Y351" s="5"/>
      <c r="Z351" s="5"/>
      <c r="AA351" s="5"/>
      <c r="AB351" s="5"/>
      <c r="AC351" s="5"/>
      <c r="AD351" s="5"/>
      <c r="AE351" s="5"/>
      <c r="AF351" s="5"/>
      <c r="AG351" s="5"/>
      <c r="AH351" s="5"/>
      <c r="AI351" s="5"/>
      <c r="AJ351" s="5"/>
      <c r="AK351" s="5"/>
      <c r="AL351" s="5"/>
      <c r="AM351" s="5"/>
      <c r="AN351" s="5"/>
      <c r="AO351" s="5"/>
      <c r="AP351" s="5"/>
      <c r="AQ351" s="5"/>
      <c r="AR351" s="5"/>
      <c r="AS351" s="5"/>
      <c r="AT351" s="5"/>
      <c r="AU351" s="5"/>
      <c r="AV351" s="5"/>
      <c r="AW351" s="5"/>
      <c r="AX351" s="5"/>
      <c r="AY351" s="5"/>
      <c r="AZ351" s="5"/>
      <c r="BA351" s="5"/>
      <c r="BB351" s="5"/>
      <c r="BC351" s="5"/>
      <c r="BD351" s="5"/>
      <c r="BE351" s="5"/>
      <c r="BF351" s="5"/>
      <c r="BG351" s="5"/>
      <c r="BH351" s="5"/>
      <c r="BI351" s="5"/>
      <c r="BJ351" s="5"/>
      <c r="BK351" s="5"/>
      <c r="BL351" s="5"/>
      <c r="BM351" s="5"/>
      <c r="BN351" s="5"/>
      <c r="BO351" s="5"/>
      <c r="BP351" s="5"/>
      <c r="BQ351" s="5"/>
      <c r="BR351" s="5"/>
      <c r="BS351" s="5"/>
      <c r="BT351" s="5"/>
      <c r="BU351" s="5"/>
      <c r="BV351" s="5"/>
      <c r="BW351" s="5"/>
      <c r="BX351" s="5"/>
      <c r="BY351" s="5"/>
      <c r="BZ351" s="5"/>
      <c r="CA351" s="5"/>
      <c r="CB351" s="5"/>
      <c r="CC351" s="5"/>
      <c r="CD351" s="5"/>
      <c r="CE351" s="5"/>
      <c r="CF351" s="5"/>
      <c r="CG351" s="5"/>
      <c r="CH351" s="5"/>
      <c r="CI351" s="5"/>
      <c r="CJ351" s="5"/>
      <c r="CK351" s="5"/>
      <c r="CL351" s="5"/>
      <c r="CM351" s="5"/>
      <c r="CN351" s="5"/>
      <c r="CO351" s="5"/>
      <c r="CP351" s="5"/>
      <c r="CQ351" s="5"/>
      <c r="CR351" s="5"/>
      <c r="CS351" s="5"/>
      <c r="CT351" s="5"/>
      <c r="CU351" s="5"/>
      <c r="CV351" s="5"/>
      <c r="CW351" s="5"/>
      <c r="CX351" s="5"/>
      <c r="CY351" s="5"/>
      <c r="CZ351" s="5"/>
      <c r="DA351" s="5"/>
      <c r="DB351" s="5"/>
      <c r="DC351" s="5"/>
      <c r="DD351" s="5"/>
      <c r="DE351" s="5"/>
      <c r="DF351" s="5"/>
      <c r="DG351" s="5"/>
      <c r="DH351" s="5"/>
      <c r="DI351" s="5"/>
      <c r="DJ351" s="5"/>
      <c r="DK351" s="5"/>
      <c r="DL351" s="5"/>
      <c r="DM351" s="5"/>
      <c r="DN351" s="5"/>
      <c r="DO351" s="5"/>
      <c r="DP351" s="5"/>
      <c r="DQ351" s="5"/>
      <c r="DR351" s="5"/>
      <c r="DS351" s="5"/>
      <c r="DT351" s="5"/>
      <c r="DU351" s="5"/>
      <c r="DV351" s="5"/>
      <c r="DW351" s="5"/>
      <c r="DX351" s="5"/>
      <c r="DY351" s="5"/>
      <c r="DZ351" s="5"/>
      <c r="EA351" s="5"/>
      <c r="EB351" s="5"/>
      <c r="EC351" s="5"/>
      <c r="ED351" s="5"/>
      <c r="EE351" s="5"/>
      <c r="EF351" s="5"/>
      <c r="EG351" s="5"/>
      <c r="EH351" s="5"/>
      <c r="EI351" s="5"/>
      <c r="EJ351" s="5"/>
      <c r="EK351" s="5"/>
      <c r="EL351" s="5"/>
      <c r="EM351" s="5"/>
      <c r="EN351" s="5"/>
      <c r="EO351" s="5"/>
      <c r="EP351" s="5"/>
      <c r="EQ351" s="5"/>
      <c r="ER351" s="5"/>
      <c r="ES351" s="5"/>
      <c r="ET351" s="5"/>
      <c r="EU351" s="5"/>
      <c r="EV351" s="5"/>
      <c r="EW351" s="5"/>
      <c r="EX351" s="5"/>
      <c r="EY351" s="5"/>
      <c r="EZ351" s="5"/>
      <c r="FA351" s="5"/>
      <c r="FB351" s="5"/>
      <c r="FC351" s="5"/>
      <c r="FD351" s="5"/>
      <c r="FE351" s="5"/>
      <c r="FF351" s="5"/>
      <c r="FG351" s="5"/>
      <c r="FH351" s="5"/>
      <c r="FI351" s="5"/>
      <c r="FJ351" s="5"/>
      <c r="FK351" s="5"/>
      <c r="FL351" s="5"/>
      <c r="FM351" s="5"/>
      <c r="FN351" s="5"/>
      <c r="FO351" s="5"/>
      <c r="FP351" s="5"/>
      <c r="FQ351" s="5"/>
      <c r="FR351" s="5"/>
      <c r="FS351" s="5"/>
      <c r="FT351" s="5"/>
      <c r="FU351" s="5"/>
      <c r="FV351" s="5"/>
      <c r="FW351" s="5"/>
      <c r="FX351" s="5"/>
      <c r="FY351" s="5"/>
      <c r="FZ351" s="5"/>
      <c r="GA351" s="5"/>
      <c r="GB351" s="5"/>
      <c r="GC351" s="5"/>
      <c r="GD351" s="5"/>
      <c r="GE351" s="5"/>
      <c r="GF351" s="5"/>
      <c r="GG351" s="5"/>
      <c r="GH351" s="5"/>
      <c r="GI351" s="5"/>
      <c r="GJ351" s="5"/>
      <c r="GK351" s="5"/>
      <c r="GL351" s="5"/>
      <c r="GM351" s="5"/>
      <c r="GN351" s="5"/>
      <c r="GO351" s="5"/>
      <c r="GP351" s="5"/>
      <c r="GQ351" s="5"/>
      <c r="GR351" s="5"/>
      <c r="GS351" s="5"/>
      <c r="GT351" s="5"/>
      <c r="GU351" s="5"/>
      <c r="GV351" s="5"/>
      <c r="GW351" s="5"/>
      <c r="GX351" s="5"/>
      <c r="GY351" s="5"/>
      <c r="GZ351" s="5"/>
      <c r="HA351" s="5"/>
      <c r="HB351" s="5"/>
      <c r="HC351" s="5"/>
      <c r="HD351" s="5"/>
      <c r="HE351" s="5"/>
      <c r="HF351" s="5"/>
      <c r="HG351" s="5"/>
      <c r="HH351" s="5"/>
      <c r="HI351" s="5"/>
      <c r="HJ351" s="5"/>
      <c r="HK351" s="5"/>
      <c r="HL351" s="5"/>
      <c r="HM351" s="5"/>
      <c r="HN351" s="5"/>
      <c r="HO351" s="5"/>
      <c r="HP351" s="5"/>
      <c r="HQ351" s="5"/>
      <c r="HR351" s="5"/>
      <c r="HS351" s="5"/>
      <c r="HT351" s="5"/>
      <c r="HU351" s="5"/>
      <c r="HV351" s="5"/>
      <c r="HW351" s="5"/>
      <c r="HX351" s="5"/>
      <c r="HY351" s="5"/>
      <c r="HZ351" s="5"/>
      <c r="IA351" s="5"/>
      <c r="IB351" s="5"/>
      <c r="IC351" s="5"/>
      <c r="ID351" s="5"/>
      <c r="IE351" s="5"/>
    </row>
    <row r="352" spans="1:239" s="183" customFormat="1" ht="36.75" customHeight="1" x14ac:dyDescent="0.45">
      <c r="A352" s="63"/>
      <c r="B352" s="48"/>
      <c r="C352" s="219" t="s">
        <v>63</v>
      </c>
      <c r="D352" s="46"/>
      <c r="E352" s="46"/>
      <c r="F352" s="174"/>
      <c r="G352" s="415">
        <f>SUM(G327:G334)</f>
        <v>3507</v>
      </c>
      <c r="H352" s="497">
        <v>0</v>
      </c>
      <c r="I352" s="498">
        <f>SUM(I327:I349)</f>
        <v>112813.71</v>
      </c>
      <c r="J352" s="499">
        <f>SUM(J327:J351)</f>
        <v>59900.729999999996</v>
      </c>
      <c r="K352" s="499">
        <f>SUM(K327:K345)</f>
        <v>0</v>
      </c>
      <c r="L352" s="40"/>
      <c r="M352" s="30"/>
      <c r="N352" s="500"/>
      <c r="O352" s="31">
        <f>+J352-'[1]вересень (2)'!J320</f>
        <v>59900.729999999996</v>
      </c>
      <c r="P352" s="466"/>
      <c r="Q352" s="5"/>
      <c r="R352" s="5"/>
      <c r="S352" s="5"/>
      <c r="T352" s="5"/>
      <c r="U352" s="5"/>
      <c r="V352" s="5"/>
      <c r="W352" s="5"/>
      <c r="X352" s="5"/>
      <c r="Y352" s="5"/>
      <c r="Z352" s="5"/>
      <c r="AA352" s="5"/>
      <c r="AB352" s="5"/>
      <c r="AC352" s="5"/>
      <c r="AD352" s="5"/>
      <c r="AE352" s="5">
        <f>+J352-'[1]26.06. +спорт+днз№15'!J345</f>
        <v>31952.799999999996</v>
      </c>
      <c r="AF352" s="5"/>
      <c r="AG352" s="5"/>
      <c r="AH352" s="5"/>
      <c r="AI352" s="5"/>
      <c r="AJ352" s="5"/>
      <c r="AK352" s="5"/>
      <c r="AL352" s="5"/>
      <c r="AM352" s="5"/>
      <c r="AN352" s="5"/>
      <c r="AO352" s="5"/>
      <c r="AP352" s="5"/>
      <c r="AQ352" s="5"/>
      <c r="AR352" s="5"/>
      <c r="AS352" s="5"/>
      <c r="AT352" s="5"/>
      <c r="AU352" s="5"/>
      <c r="AV352" s="5"/>
      <c r="AW352" s="5"/>
      <c r="AX352" s="5"/>
      <c r="AY352" s="5"/>
      <c r="AZ352" s="5"/>
      <c r="BA352" s="5"/>
      <c r="BB352" s="5"/>
      <c r="BC352" s="5"/>
      <c r="BD352" s="5"/>
      <c r="BE352" s="5"/>
      <c r="BF352" s="5"/>
      <c r="BG352" s="5"/>
      <c r="BH352" s="5"/>
      <c r="BI352" s="5"/>
      <c r="BJ352" s="5"/>
      <c r="BK352" s="5"/>
      <c r="BL352" s="5"/>
      <c r="BM352" s="5"/>
      <c r="BN352" s="5"/>
      <c r="BO352" s="5"/>
      <c r="BP352" s="5"/>
      <c r="BQ352" s="5"/>
      <c r="BR352" s="5"/>
      <c r="BS352" s="5"/>
      <c r="BT352" s="5"/>
      <c r="BU352" s="5"/>
      <c r="BV352" s="5"/>
      <c r="BW352" s="5"/>
      <c r="BX352" s="5"/>
      <c r="BY352" s="5"/>
      <c r="BZ352" s="5"/>
      <c r="CA352" s="5"/>
      <c r="CB352" s="5"/>
      <c r="CC352" s="5"/>
      <c r="CD352" s="5"/>
      <c r="CE352" s="5"/>
      <c r="CF352" s="5"/>
      <c r="CG352" s="5"/>
      <c r="CH352" s="5"/>
      <c r="CI352" s="5"/>
      <c r="CJ352" s="5"/>
      <c r="CK352" s="5"/>
      <c r="CL352" s="5"/>
      <c r="CM352" s="5"/>
      <c r="CN352" s="5"/>
      <c r="CO352" s="5"/>
      <c r="CP352" s="5"/>
      <c r="CQ352" s="5"/>
      <c r="CR352" s="5"/>
      <c r="CS352" s="5"/>
      <c r="CT352" s="5"/>
      <c r="CU352" s="5"/>
      <c r="CV352" s="5"/>
      <c r="CW352" s="5"/>
      <c r="CX352" s="5"/>
      <c r="CY352" s="5"/>
      <c r="CZ352" s="5"/>
      <c r="DA352" s="5"/>
      <c r="DB352" s="5"/>
      <c r="DC352" s="5"/>
      <c r="DD352" s="5"/>
      <c r="DE352" s="5"/>
      <c r="DF352" s="5"/>
      <c r="DG352" s="5"/>
      <c r="DH352" s="5"/>
      <c r="DI352" s="5"/>
      <c r="DJ352" s="5"/>
      <c r="DK352" s="5"/>
      <c r="DL352" s="5"/>
      <c r="DM352" s="5"/>
      <c r="DN352" s="5"/>
      <c r="DO352" s="5"/>
      <c r="DP352" s="5"/>
      <c r="DQ352" s="5"/>
      <c r="DR352" s="5"/>
      <c r="DS352" s="5"/>
      <c r="DT352" s="5"/>
      <c r="DU352" s="5"/>
      <c r="DV352" s="5"/>
      <c r="DW352" s="5"/>
      <c r="DX352" s="5"/>
      <c r="DY352" s="5"/>
      <c r="DZ352" s="5"/>
      <c r="EA352" s="5"/>
      <c r="EB352" s="5"/>
      <c r="EC352" s="5"/>
      <c r="ED352" s="5"/>
      <c r="EE352" s="5"/>
      <c r="EF352" s="5"/>
      <c r="EG352" s="5"/>
      <c r="EH352" s="5"/>
      <c r="EI352" s="5"/>
      <c r="EJ352" s="5"/>
      <c r="EK352" s="5"/>
      <c r="EL352" s="5"/>
      <c r="EM352" s="5"/>
      <c r="EN352" s="5"/>
      <c r="EO352" s="5"/>
      <c r="EP352" s="5"/>
      <c r="EQ352" s="5"/>
      <c r="ER352" s="5"/>
      <c r="ES352" s="5"/>
      <c r="ET352" s="5"/>
      <c r="EU352" s="5"/>
      <c r="EV352" s="5"/>
      <c r="EW352" s="5"/>
      <c r="EX352" s="5"/>
      <c r="EY352" s="5"/>
      <c r="EZ352" s="5"/>
      <c r="FA352" s="5"/>
      <c r="FB352" s="5"/>
      <c r="FC352" s="5"/>
      <c r="FD352" s="5"/>
      <c r="FE352" s="5"/>
      <c r="FF352" s="5"/>
      <c r="FG352" s="5"/>
      <c r="FH352" s="5"/>
      <c r="FI352" s="5"/>
      <c r="FJ352" s="5"/>
      <c r="FK352" s="5"/>
      <c r="FL352" s="5"/>
      <c r="FM352" s="5"/>
      <c r="FN352" s="5"/>
      <c r="FO352" s="5"/>
      <c r="FP352" s="5"/>
      <c r="FQ352" s="5"/>
      <c r="FR352" s="5"/>
      <c r="FS352" s="5"/>
      <c r="FT352" s="5"/>
      <c r="FU352" s="5"/>
      <c r="FV352" s="5"/>
      <c r="FW352" s="5"/>
      <c r="FX352" s="5"/>
      <c r="FY352" s="5"/>
      <c r="FZ352" s="5"/>
      <c r="GA352" s="5"/>
      <c r="GB352" s="5"/>
      <c r="GC352" s="5"/>
      <c r="GD352" s="5"/>
      <c r="GE352" s="5"/>
      <c r="GF352" s="5"/>
      <c r="GG352" s="5"/>
      <c r="GH352" s="5"/>
      <c r="GI352" s="5"/>
      <c r="GJ352" s="5"/>
      <c r="GK352" s="5"/>
      <c r="GL352" s="5"/>
      <c r="GM352" s="5"/>
      <c r="GN352" s="5"/>
      <c r="GO352" s="5"/>
      <c r="GP352" s="5"/>
      <c r="GQ352" s="5"/>
      <c r="GR352" s="5"/>
      <c r="GS352" s="5"/>
      <c r="GT352" s="5"/>
      <c r="GU352" s="5"/>
      <c r="GV352" s="5"/>
      <c r="GW352" s="5"/>
      <c r="GX352" s="5"/>
      <c r="GY352" s="5"/>
      <c r="GZ352" s="5"/>
      <c r="HA352" s="5"/>
      <c r="HB352" s="5"/>
      <c r="HC352" s="5"/>
      <c r="HD352" s="5"/>
      <c r="HE352" s="5"/>
      <c r="HF352" s="5"/>
      <c r="HG352" s="5"/>
      <c r="HH352" s="5"/>
      <c r="HI352" s="5"/>
      <c r="HJ352" s="5"/>
      <c r="HK352" s="5"/>
      <c r="HL352" s="5"/>
      <c r="HM352" s="5"/>
      <c r="HN352" s="5"/>
      <c r="HO352" s="5"/>
      <c r="HP352" s="5"/>
      <c r="HQ352" s="5"/>
      <c r="HR352" s="5"/>
      <c r="HS352" s="5"/>
      <c r="HT352" s="5"/>
      <c r="HU352" s="5"/>
      <c r="HV352" s="5"/>
      <c r="HW352" s="5"/>
      <c r="HX352" s="5"/>
      <c r="HY352" s="5"/>
      <c r="HZ352" s="5"/>
      <c r="IA352" s="5"/>
      <c r="IB352" s="5"/>
      <c r="IC352" s="5"/>
      <c r="ID352" s="5"/>
      <c r="IE352" s="5"/>
    </row>
    <row r="353" spans="1:239" ht="45.75" customHeight="1" thickBot="1" x14ac:dyDescent="0.5">
      <c r="A353" s="501"/>
      <c r="B353" s="502"/>
      <c r="C353" s="671" t="s">
        <v>631</v>
      </c>
      <c r="D353" s="671"/>
      <c r="E353" s="671"/>
      <c r="F353" s="671"/>
      <c r="G353" s="503">
        <f>G29+G75+G138+G156+G168+G175+G191+G199+G223+G248+G256+G287+G313+G352</f>
        <v>2104530.5</v>
      </c>
      <c r="H353" s="504">
        <f>H29+H75+H138+H156+H168+H175+H191+H199+H223+H248+H256+H287+H313</f>
        <v>2344637.0200000005</v>
      </c>
      <c r="I353" s="505">
        <f>I29+I75+I138+I156+I168+I175+I191+I199+I223+I248+I256+I287+I352+I313+0.03</f>
        <v>2483198.6399999992</v>
      </c>
      <c r="J353" s="505">
        <f>J29+J75+J138+J156+J168+J175+J191+J199+J223+J248+J256+J287+J352+J313+0.2+0.04</f>
        <v>2891226.9</v>
      </c>
      <c r="K353" s="503">
        <f>K29+K75+K138+K156+K168+K175+K191+K199+K223+K248+K256+K287+K313</f>
        <v>2786728</v>
      </c>
      <c r="L353" s="506"/>
      <c r="M353" s="72"/>
      <c r="N353" s="30"/>
      <c r="O353" s="31" t="e">
        <f>SUM(O11:O352)</f>
        <v>#VALUE!</v>
      </c>
      <c r="P353" s="507">
        <f>+K353-'[1]вересень (2)'!K321</f>
        <v>52549.5</v>
      </c>
      <c r="Q353" s="5"/>
      <c r="R353" s="5"/>
      <c r="S353" s="5"/>
      <c r="T353" s="5"/>
      <c r="U353" s="5"/>
      <c r="V353" s="5"/>
      <c r="W353" s="5"/>
      <c r="X353" s="5"/>
      <c r="Y353" s="5"/>
      <c r="Z353" s="5"/>
      <c r="AA353" s="5"/>
      <c r="AB353" s="5"/>
      <c r="AC353" s="5"/>
      <c r="AD353" s="5"/>
      <c r="AE353" s="5"/>
      <c r="AF353" s="508">
        <f>+G353+H353+I353+J353+K353</f>
        <v>12610321.060000001</v>
      </c>
      <c r="AG353" s="508"/>
      <c r="AH353" s="5"/>
      <c r="AI353" s="5"/>
      <c r="AJ353" s="5"/>
      <c r="AK353" s="5"/>
      <c r="AL353" s="5"/>
      <c r="AM353" s="5"/>
      <c r="AN353" s="5"/>
      <c r="AO353" s="5"/>
      <c r="AP353" s="5"/>
      <c r="AQ353" s="5"/>
      <c r="AR353" s="5"/>
      <c r="AS353" s="5"/>
      <c r="AT353" s="5"/>
      <c r="AU353" s="5"/>
      <c r="AV353" s="5"/>
      <c r="AW353" s="5"/>
      <c r="AX353" s="5"/>
      <c r="AY353" s="5"/>
      <c r="AZ353" s="5"/>
      <c r="BA353" s="5"/>
      <c r="BB353" s="5"/>
      <c r="BC353" s="5"/>
      <c r="BD353" s="5"/>
      <c r="BE353" s="5"/>
      <c r="BF353" s="5"/>
      <c r="BG353" s="5"/>
      <c r="BH353" s="5"/>
      <c r="BI353" s="5"/>
      <c r="BJ353" s="5"/>
      <c r="BK353" s="5"/>
      <c r="BL353" s="5"/>
      <c r="BM353" s="5"/>
      <c r="BN353" s="5"/>
      <c r="BO353" s="5"/>
      <c r="BP353" s="5"/>
      <c r="BQ353" s="5"/>
      <c r="BR353" s="5"/>
      <c r="BS353" s="5"/>
      <c r="BT353" s="5"/>
      <c r="BU353" s="5"/>
      <c r="BV353" s="5"/>
      <c r="BW353" s="5"/>
      <c r="BX353" s="5"/>
      <c r="BY353" s="5"/>
      <c r="BZ353" s="5"/>
      <c r="CA353" s="5"/>
      <c r="CB353" s="5"/>
      <c r="CC353" s="5"/>
      <c r="CD353" s="5"/>
      <c r="CE353" s="5"/>
      <c r="CF353" s="5"/>
      <c r="CG353" s="5"/>
      <c r="CH353" s="5"/>
      <c r="CI353" s="5"/>
      <c r="CJ353" s="5"/>
      <c r="CK353" s="5"/>
      <c r="CL353" s="5"/>
      <c r="CM353" s="5"/>
      <c r="CN353" s="5"/>
      <c r="CO353" s="5"/>
      <c r="CP353" s="5"/>
      <c r="CQ353" s="5"/>
      <c r="CR353" s="5"/>
      <c r="CS353" s="5"/>
      <c r="CT353" s="5"/>
      <c r="CU353" s="5"/>
      <c r="CV353" s="5"/>
      <c r="CW353" s="5"/>
      <c r="CX353" s="5"/>
      <c r="CY353" s="5"/>
      <c r="CZ353" s="5"/>
      <c r="DA353" s="5"/>
      <c r="DB353" s="5"/>
      <c r="DC353" s="5"/>
      <c r="DD353" s="5"/>
      <c r="DE353" s="5"/>
      <c r="DF353" s="5"/>
      <c r="DG353" s="5"/>
      <c r="DH353" s="5"/>
      <c r="DI353" s="5"/>
      <c r="DJ353" s="5"/>
      <c r="DK353" s="5"/>
      <c r="DL353" s="5"/>
      <c r="DM353" s="5"/>
      <c r="DN353" s="5"/>
      <c r="DO353" s="5"/>
      <c r="DP353" s="5"/>
      <c r="DQ353" s="5"/>
      <c r="DR353" s="5"/>
      <c r="DS353" s="5"/>
      <c r="DT353" s="5"/>
      <c r="DU353" s="5"/>
      <c r="DV353" s="5"/>
      <c r="DW353" s="5"/>
      <c r="DX353" s="5"/>
      <c r="DY353" s="5"/>
      <c r="DZ353" s="5"/>
      <c r="EA353" s="5"/>
      <c r="EB353" s="5"/>
      <c r="EC353" s="5"/>
      <c r="ED353" s="5"/>
      <c r="EE353" s="5"/>
      <c r="EF353" s="5"/>
      <c r="EG353" s="5"/>
      <c r="EH353" s="5"/>
      <c r="EI353" s="5"/>
      <c r="EJ353" s="5"/>
      <c r="EK353" s="5"/>
      <c r="EL353" s="5"/>
      <c r="EM353" s="5"/>
      <c r="EN353" s="5"/>
      <c r="EO353" s="5"/>
      <c r="EP353" s="5"/>
      <c r="EQ353" s="5"/>
      <c r="ER353" s="5"/>
      <c r="ES353" s="5"/>
      <c r="ET353" s="5"/>
      <c r="EU353" s="5"/>
      <c r="EV353" s="5"/>
      <c r="EW353" s="5"/>
      <c r="EX353" s="5"/>
      <c r="EY353" s="5"/>
      <c r="EZ353" s="5"/>
      <c r="FA353" s="5"/>
      <c r="FB353" s="5"/>
      <c r="FC353" s="5"/>
      <c r="FD353" s="5"/>
      <c r="FE353" s="5"/>
      <c r="FF353" s="5"/>
      <c r="FG353" s="5"/>
      <c r="FH353" s="5"/>
      <c r="FI353" s="5"/>
      <c r="FJ353" s="5"/>
      <c r="FK353" s="5"/>
      <c r="FL353" s="5"/>
      <c r="FM353" s="5"/>
      <c r="FN353" s="5"/>
      <c r="FO353" s="5"/>
      <c r="FP353" s="5"/>
      <c r="FQ353" s="5"/>
      <c r="FR353" s="5"/>
      <c r="FS353" s="5"/>
      <c r="FT353" s="5"/>
      <c r="FU353" s="5"/>
      <c r="FV353" s="5"/>
      <c r="FW353" s="5"/>
      <c r="FX353" s="5"/>
      <c r="FY353" s="5"/>
      <c r="FZ353" s="5"/>
      <c r="GA353" s="5"/>
      <c r="GB353" s="5"/>
      <c r="GC353" s="5"/>
      <c r="GD353" s="5"/>
      <c r="GE353" s="5"/>
      <c r="GF353" s="5"/>
      <c r="GG353" s="5"/>
      <c r="GH353" s="5"/>
      <c r="GI353" s="5"/>
      <c r="GJ353" s="5"/>
      <c r="GK353" s="5"/>
      <c r="GL353" s="5"/>
      <c r="GM353" s="5"/>
      <c r="GN353" s="5"/>
      <c r="GO353" s="5"/>
      <c r="GP353" s="5"/>
      <c r="GQ353" s="5"/>
      <c r="GR353" s="5"/>
      <c r="GS353" s="5"/>
      <c r="GT353" s="5"/>
      <c r="GU353" s="5"/>
      <c r="GV353" s="5"/>
      <c r="GW353" s="5"/>
      <c r="GX353" s="5"/>
      <c r="GY353" s="5"/>
      <c r="GZ353" s="5"/>
      <c r="HA353" s="5"/>
      <c r="HB353" s="5"/>
      <c r="HC353" s="5"/>
      <c r="HD353" s="5"/>
      <c r="HE353" s="5"/>
      <c r="HF353" s="5"/>
      <c r="HG353" s="5"/>
      <c r="HH353" s="5"/>
      <c r="HI353" s="5"/>
      <c r="HJ353" s="5"/>
      <c r="HK353" s="5"/>
      <c r="HL353" s="5"/>
      <c r="HM353" s="5"/>
      <c r="HN353" s="5"/>
      <c r="HO353" s="5"/>
      <c r="HP353" s="5"/>
      <c r="HQ353" s="5"/>
      <c r="HR353" s="5"/>
      <c r="HS353" s="5"/>
      <c r="HT353" s="5"/>
      <c r="HU353" s="5"/>
      <c r="HV353" s="5"/>
      <c r="HW353" s="5"/>
      <c r="HX353" s="5"/>
      <c r="HY353" s="5"/>
      <c r="HZ353" s="5"/>
      <c r="IA353" s="5"/>
      <c r="IB353" s="5"/>
      <c r="IC353" s="5"/>
      <c r="ID353" s="5"/>
      <c r="IE353" s="5"/>
    </row>
    <row r="354" spans="1:239" ht="45.75" customHeight="1" x14ac:dyDescent="0.45">
      <c r="A354" s="509"/>
      <c r="B354" s="209" t="s">
        <v>632</v>
      </c>
      <c r="C354" s="672" t="s">
        <v>633</v>
      </c>
      <c r="D354" s="672"/>
      <c r="E354" s="672"/>
      <c r="F354" s="672"/>
      <c r="G354" s="672"/>
      <c r="H354" s="672"/>
      <c r="I354" s="672"/>
      <c r="J354" s="672"/>
      <c r="K354" s="672"/>
      <c r="L354" s="672"/>
      <c r="M354" s="72"/>
      <c r="N354" s="30"/>
      <c r="O354" s="4"/>
      <c r="P354" s="466"/>
      <c r="Q354" s="5"/>
      <c r="R354" s="5"/>
      <c r="S354" s="5"/>
      <c r="T354" s="5"/>
      <c r="U354" s="5"/>
      <c r="V354" s="5"/>
      <c r="W354" s="5"/>
      <c r="X354" s="5"/>
      <c r="Y354" s="5"/>
      <c r="Z354" s="5"/>
      <c r="AA354" s="5"/>
      <c r="AB354" s="5"/>
      <c r="AC354" s="5"/>
      <c r="AD354" s="5"/>
      <c r="AE354" s="5"/>
      <c r="AF354" s="5"/>
      <c r="AG354" s="5"/>
      <c r="AH354" s="5"/>
      <c r="AI354" s="5"/>
      <c r="AJ354" s="5"/>
      <c r="AK354" s="5"/>
      <c r="AL354" s="5"/>
      <c r="AM354" s="5"/>
      <c r="AN354" s="5"/>
      <c r="AO354" s="5"/>
      <c r="AP354" s="5"/>
      <c r="AQ354" s="5"/>
      <c r="AR354" s="5"/>
      <c r="AS354" s="5"/>
      <c r="AT354" s="5"/>
      <c r="AU354" s="5"/>
      <c r="AV354" s="5"/>
      <c r="AW354" s="5"/>
      <c r="AX354" s="5"/>
      <c r="AY354" s="5"/>
      <c r="AZ354" s="5"/>
      <c r="BA354" s="5"/>
      <c r="BB354" s="5"/>
      <c r="BC354" s="5"/>
      <c r="BD354" s="5"/>
      <c r="BE354" s="5"/>
      <c r="BF354" s="5"/>
      <c r="BG354" s="5"/>
      <c r="BH354" s="5"/>
      <c r="BI354" s="5"/>
      <c r="BJ354" s="5"/>
      <c r="BK354" s="5"/>
      <c r="BL354" s="5"/>
      <c r="BM354" s="5"/>
      <c r="BN354" s="5"/>
      <c r="BO354" s="5"/>
      <c r="BP354" s="5"/>
      <c r="BQ354" s="5"/>
      <c r="BR354" s="5"/>
      <c r="BS354" s="5"/>
      <c r="BT354" s="5"/>
      <c r="BU354" s="5"/>
      <c r="BV354" s="5"/>
      <c r="BW354" s="5"/>
      <c r="BX354" s="5"/>
      <c r="BY354" s="5"/>
      <c r="BZ354" s="5"/>
      <c r="CA354" s="5"/>
      <c r="CB354" s="5"/>
      <c r="CC354" s="5"/>
      <c r="CD354" s="5"/>
      <c r="CE354" s="5"/>
      <c r="CF354" s="5"/>
      <c r="CG354" s="5"/>
      <c r="CH354" s="5"/>
      <c r="CI354" s="5"/>
      <c r="CJ354" s="5"/>
      <c r="CK354" s="5"/>
      <c r="CL354" s="5"/>
      <c r="CM354" s="5"/>
      <c r="CN354" s="5"/>
      <c r="CO354" s="5"/>
      <c r="CP354" s="5"/>
      <c r="CQ354" s="5"/>
      <c r="CR354" s="5"/>
      <c r="CS354" s="5"/>
      <c r="CT354" s="5"/>
      <c r="CU354" s="5"/>
      <c r="CV354" s="5"/>
      <c r="CW354" s="5"/>
      <c r="CX354" s="5"/>
      <c r="CY354" s="5"/>
      <c r="CZ354" s="5"/>
      <c r="DA354" s="5"/>
      <c r="DB354" s="5"/>
      <c r="DC354" s="5"/>
      <c r="DD354" s="5"/>
      <c r="DE354" s="5"/>
      <c r="DF354" s="5"/>
      <c r="DG354" s="5"/>
      <c r="DH354" s="5"/>
      <c r="DI354" s="5"/>
      <c r="DJ354" s="5"/>
      <c r="DK354" s="5"/>
      <c r="DL354" s="5"/>
      <c r="DM354" s="5"/>
      <c r="DN354" s="5"/>
      <c r="DO354" s="5"/>
      <c r="DP354" s="5"/>
      <c r="DQ354" s="5"/>
      <c r="DR354" s="5"/>
      <c r="DS354" s="5"/>
      <c r="DT354" s="5"/>
      <c r="DU354" s="5"/>
      <c r="DV354" s="5"/>
      <c r="DW354" s="5"/>
      <c r="DX354" s="5"/>
      <c r="DY354" s="5"/>
      <c r="DZ354" s="5"/>
      <c r="EA354" s="5"/>
      <c r="EB354" s="5"/>
      <c r="EC354" s="5"/>
      <c r="ED354" s="5"/>
      <c r="EE354" s="5"/>
      <c r="EF354" s="5"/>
      <c r="EG354" s="5"/>
      <c r="EH354" s="5"/>
      <c r="EI354" s="5"/>
      <c r="EJ354" s="5"/>
      <c r="EK354" s="5"/>
      <c r="EL354" s="5"/>
      <c r="EM354" s="5"/>
      <c r="EN354" s="5"/>
      <c r="EO354" s="5"/>
      <c r="EP354" s="5"/>
      <c r="EQ354" s="5"/>
      <c r="ER354" s="5"/>
      <c r="ES354" s="5"/>
      <c r="ET354" s="5"/>
      <c r="EU354" s="5"/>
      <c r="EV354" s="5"/>
      <c r="EW354" s="5"/>
      <c r="EX354" s="5"/>
      <c r="EY354" s="5"/>
      <c r="EZ354" s="5"/>
      <c r="FA354" s="5"/>
      <c r="FB354" s="5"/>
      <c r="FC354" s="5"/>
      <c r="FD354" s="5"/>
      <c r="FE354" s="5"/>
      <c r="FF354" s="5"/>
      <c r="FG354" s="5"/>
      <c r="FH354" s="5"/>
      <c r="FI354" s="5"/>
      <c r="FJ354" s="5"/>
      <c r="FK354" s="5"/>
      <c r="FL354" s="5"/>
      <c r="FM354" s="5"/>
      <c r="FN354" s="5"/>
      <c r="FO354" s="5"/>
      <c r="FP354" s="5"/>
      <c r="FQ354" s="5"/>
      <c r="FR354" s="5"/>
      <c r="FS354" s="5"/>
      <c r="FT354" s="5"/>
      <c r="FU354" s="5"/>
      <c r="FV354" s="5"/>
      <c r="FW354" s="5"/>
      <c r="FX354" s="5"/>
      <c r="FY354" s="5"/>
      <c r="FZ354" s="5"/>
      <c r="GA354" s="5"/>
      <c r="GB354" s="5"/>
      <c r="GC354" s="5"/>
      <c r="GD354" s="5"/>
      <c r="GE354" s="5"/>
      <c r="GF354" s="5"/>
      <c r="GG354" s="5"/>
      <c r="GH354" s="5"/>
      <c r="GI354" s="5"/>
      <c r="GJ354" s="5"/>
      <c r="GK354" s="5"/>
      <c r="GL354" s="5"/>
      <c r="GM354" s="5"/>
      <c r="GN354" s="5"/>
      <c r="GO354" s="5"/>
      <c r="GP354" s="5"/>
      <c r="GQ354" s="5"/>
      <c r="GR354" s="5"/>
      <c r="GS354" s="5"/>
      <c r="GT354" s="5"/>
      <c r="GU354" s="5"/>
      <c r="GV354" s="5"/>
      <c r="GW354" s="5"/>
      <c r="GX354" s="5"/>
      <c r="GY354" s="5"/>
      <c r="GZ354" s="5"/>
      <c r="HA354" s="5"/>
      <c r="HB354" s="5"/>
      <c r="HC354" s="5"/>
      <c r="HD354" s="5"/>
      <c r="HE354" s="5"/>
      <c r="HF354" s="5"/>
      <c r="HG354" s="5"/>
      <c r="HH354" s="5"/>
      <c r="HI354" s="5"/>
      <c r="HJ354" s="5"/>
      <c r="HK354" s="5"/>
      <c r="HL354" s="5"/>
      <c r="HM354" s="5"/>
      <c r="HN354" s="5"/>
      <c r="HO354" s="5"/>
      <c r="HP354" s="5"/>
      <c r="HQ354" s="5"/>
      <c r="HR354" s="5"/>
      <c r="HS354" s="5"/>
      <c r="HT354" s="5"/>
      <c r="HU354" s="5"/>
      <c r="HV354" s="5"/>
      <c r="HW354" s="5"/>
      <c r="HX354" s="5"/>
      <c r="HY354" s="5"/>
      <c r="HZ354" s="5"/>
      <c r="IA354" s="5"/>
      <c r="IB354" s="5"/>
      <c r="IC354" s="5"/>
      <c r="ID354" s="5"/>
      <c r="IE354" s="5"/>
    </row>
    <row r="355" spans="1:239" ht="45.75" customHeight="1" x14ac:dyDescent="0.45">
      <c r="A355" s="509"/>
      <c r="B355" s="509"/>
      <c r="C355" s="673"/>
      <c r="D355" s="673"/>
      <c r="E355" s="673"/>
      <c r="F355" s="673"/>
      <c r="G355" s="673"/>
      <c r="H355" s="673"/>
      <c r="I355" s="673"/>
      <c r="J355" s="673"/>
      <c r="K355" s="673"/>
      <c r="L355" s="673"/>
      <c r="M355" s="72"/>
      <c r="N355" s="30"/>
      <c r="O355" s="4"/>
      <c r="P355" s="466"/>
      <c r="Q355" s="5"/>
      <c r="R355" s="5"/>
      <c r="S355" s="5"/>
      <c r="T355" s="5"/>
      <c r="U355" s="5"/>
      <c r="V355" s="5"/>
      <c r="W355" s="5"/>
      <c r="X355" s="5"/>
      <c r="Y355" s="5"/>
      <c r="Z355" s="5"/>
      <c r="AA355" s="5"/>
      <c r="AB355" s="5"/>
      <c r="AC355" s="5"/>
      <c r="AD355" s="5"/>
      <c r="AE355" s="5"/>
      <c r="AF355" s="5"/>
      <c r="AG355" s="5"/>
      <c r="AH355" s="5"/>
      <c r="AI355" s="5"/>
      <c r="AJ355" s="5"/>
      <c r="AK355" s="5"/>
      <c r="AL355" s="5"/>
      <c r="AM355" s="5"/>
      <c r="AN355" s="5"/>
      <c r="AO355" s="5"/>
      <c r="AP355" s="5"/>
      <c r="AQ355" s="5"/>
      <c r="AR355" s="5"/>
      <c r="AS355" s="5"/>
      <c r="AT355" s="5"/>
      <c r="AU355" s="5"/>
      <c r="AV355" s="5"/>
      <c r="AW355" s="5"/>
      <c r="AX355" s="5"/>
      <c r="AY355" s="5"/>
      <c r="AZ355" s="5"/>
      <c r="BA355" s="5"/>
      <c r="BB355" s="5"/>
      <c r="BC355" s="5"/>
      <c r="BD355" s="5"/>
      <c r="BE355" s="5"/>
      <c r="BF355" s="5"/>
      <c r="BG355" s="5"/>
      <c r="BH355" s="5"/>
      <c r="BI355" s="5"/>
      <c r="BJ355" s="5"/>
      <c r="BK355" s="5"/>
      <c r="BL355" s="5"/>
      <c r="BM355" s="5"/>
      <c r="BN355" s="5"/>
      <c r="BO355" s="5"/>
      <c r="BP355" s="5"/>
      <c r="BQ355" s="5"/>
      <c r="BR355" s="5"/>
      <c r="BS355" s="5"/>
      <c r="BT355" s="5"/>
      <c r="BU355" s="5"/>
      <c r="BV355" s="5"/>
      <c r="BW355" s="5"/>
      <c r="BX355" s="5"/>
      <c r="BY355" s="5"/>
      <c r="BZ355" s="5"/>
      <c r="CA355" s="5"/>
      <c r="CB355" s="5"/>
      <c r="CC355" s="5"/>
      <c r="CD355" s="5"/>
      <c r="CE355" s="5"/>
      <c r="CF355" s="5"/>
      <c r="CG355" s="5"/>
      <c r="CH355" s="5"/>
      <c r="CI355" s="5"/>
      <c r="CJ355" s="5"/>
      <c r="CK355" s="5"/>
      <c r="CL355" s="5"/>
      <c r="CM355" s="5"/>
      <c r="CN355" s="5"/>
      <c r="CO355" s="5"/>
      <c r="CP355" s="5"/>
      <c r="CQ355" s="5"/>
      <c r="CR355" s="5"/>
      <c r="CS355" s="5"/>
      <c r="CT355" s="5"/>
      <c r="CU355" s="5"/>
      <c r="CV355" s="5"/>
      <c r="CW355" s="5"/>
      <c r="CX355" s="5"/>
      <c r="CY355" s="5"/>
      <c r="CZ355" s="5"/>
      <c r="DA355" s="5"/>
      <c r="DB355" s="5"/>
      <c r="DC355" s="5"/>
      <c r="DD355" s="5"/>
      <c r="DE355" s="5"/>
      <c r="DF355" s="5"/>
      <c r="DG355" s="5"/>
      <c r="DH355" s="5"/>
      <c r="DI355" s="5"/>
      <c r="DJ355" s="5"/>
      <c r="DK355" s="5"/>
      <c r="DL355" s="5"/>
      <c r="DM355" s="5"/>
      <c r="DN355" s="5"/>
      <c r="DO355" s="5"/>
      <c r="DP355" s="5"/>
      <c r="DQ355" s="5"/>
      <c r="DR355" s="5"/>
      <c r="DS355" s="5"/>
      <c r="DT355" s="5"/>
      <c r="DU355" s="5"/>
      <c r="DV355" s="5"/>
      <c r="DW355" s="5"/>
      <c r="DX355" s="5"/>
      <c r="DY355" s="5"/>
      <c r="DZ355" s="5"/>
      <c r="EA355" s="5"/>
      <c r="EB355" s="5"/>
      <c r="EC355" s="5"/>
      <c r="ED355" s="5"/>
      <c r="EE355" s="5"/>
      <c r="EF355" s="5"/>
      <c r="EG355" s="5"/>
      <c r="EH355" s="5"/>
      <c r="EI355" s="5"/>
      <c r="EJ355" s="5"/>
      <c r="EK355" s="5"/>
      <c r="EL355" s="5"/>
      <c r="EM355" s="5"/>
      <c r="EN355" s="5"/>
      <c r="EO355" s="5"/>
      <c r="EP355" s="5"/>
      <c r="EQ355" s="5"/>
      <c r="ER355" s="5"/>
      <c r="ES355" s="5"/>
      <c r="ET355" s="5"/>
      <c r="EU355" s="5"/>
      <c r="EV355" s="5"/>
      <c r="EW355" s="5"/>
      <c r="EX355" s="5"/>
      <c r="EY355" s="5"/>
      <c r="EZ355" s="5"/>
      <c r="FA355" s="5"/>
      <c r="FB355" s="5"/>
      <c r="FC355" s="5"/>
      <c r="FD355" s="5"/>
      <c r="FE355" s="5"/>
      <c r="FF355" s="5"/>
      <c r="FG355" s="5"/>
      <c r="FH355" s="5"/>
      <c r="FI355" s="5"/>
      <c r="FJ355" s="5"/>
      <c r="FK355" s="5"/>
      <c r="FL355" s="5"/>
      <c r="FM355" s="5"/>
      <c r="FN355" s="5"/>
      <c r="FO355" s="5"/>
      <c r="FP355" s="5"/>
      <c r="FQ355" s="5"/>
      <c r="FR355" s="5"/>
      <c r="FS355" s="5"/>
      <c r="FT355" s="5"/>
      <c r="FU355" s="5"/>
      <c r="FV355" s="5"/>
      <c r="FW355" s="5"/>
      <c r="FX355" s="5"/>
      <c r="FY355" s="5"/>
      <c r="FZ355" s="5"/>
      <c r="GA355" s="5"/>
      <c r="GB355" s="5"/>
      <c r="GC355" s="5"/>
      <c r="GD355" s="5"/>
      <c r="GE355" s="5"/>
      <c r="GF355" s="5"/>
      <c r="GG355" s="5"/>
      <c r="GH355" s="5"/>
      <c r="GI355" s="5"/>
      <c r="GJ355" s="5"/>
      <c r="GK355" s="5"/>
      <c r="GL355" s="5"/>
      <c r="GM355" s="5"/>
      <c r="GN355" s="5"/>
      <c r="GO355" s="5"/>
      <c r="GP355" s="5"/>
      <c r="GQ355" s="5"/>
      <c r="GR355" s="5"/>
      <c r="GS355" s="5"/>
      <c r="GT355" s="5"/>
      <c r="GU355" s="5"/>
      <c r="GV355" s="5"/>
      <c r="GW355" s="5"/>
      <c r="GX355" s="5"/>
      <c r="GY355" s="5"/>
      <c r="GZ355" s="5"/>
      <c r="HA355" s="5"/>
      <c r="HB355" s="5"/>
      <c r="HC355" s="5"/>
      <c r="HD355" s="5"/>
      <c r="HE355" s="5"/>
      <c r="HF355" s="5"/>
      <c r="HG355" s="5"/>
      <c r="HH355" s="5"/>
      <c r="HI355" s="5"/>
      <c r="HJ355" s="5"/>
      <c r="HK355" s="5"/>
      <c r="HL355" s="5"/>
      <c r="HM355" s="5"/>
      <c r="HN355" s="5"/>
      <c r="HO355" s="5"/>
      <c r="HP355" s="5"/>
      <c r="HQ355" s="5"/>
      <c r="HR355" s="5"/>
      <c r="HS355" s="5"/>
      <c r="HT355" s="5"/>
      <c r="HU355" s="5"/>
      <c r="HV355" s="5"/>
      <c r="HW355" s="5"/>
      <c r="HX355" s="5"/>
      <c r="HY355" s="5"/>
      <c r="HZ355" s="5"/>
      <c r="IA355" s="5"/>
      <c r="IB355" s="5"/>
      <c r="IC355" s="5"/>
      <c r="ID355" s="5"/>
      <c r="IE355" s="5"/>
    </row>
    <row r="356" spans="1:239" ht="41.25" customHeight="1" x14ac:dyDescent="0.5">
      <c r="A356" s="510"/>
      <c r="C356" s="511" t="s">
        <v>634</v>
      </c>
      <c r="D356" s="512"/>
      <c r="E356" s="512"/>
      <c r="F356" s="513"/>
      <c r="G356" s="514"/>
      <c r="H356" s="512"/>
      <c r="I356" s="515"/>
      <c r="J356" s="515"/>
      <c r="K356" s="511" t="s">
        <v>635</v>
      </c>
      <c r="L356" s="511"/>
      <c r="M356" s="511"/>
      <c r="N356" s="516"/>
      <c r="O356" s="4"/>
      <c r="P356" s="5"/>
      <c r="Q356" s="5"/>
      <c r="R356" s="5"/>
      <c r="S356" s="5"/>
      <c r="T356" s="5"/>
      <c r="U356" s="5"/>
      <c r="V356" s="5"/>
      <c r="W356" s="5"/>
      <c r="X356" s="5"/>
      <c r="Y356" s="5"/>
      <c r="Z356" s="5"/>
      <c r="AA356" s="5"/>
      <c r="AB356" s="5"/>
      <c r="AC356" s="5"/>
      <c r="AD356" s="5"/>
      <c r="AE356" s="5"/>
      <c r="AF356" s="5"/>
      <c r="AG356" s="5"/>
      <c r="AH356" s="5"/>
      <c r="AI356" s="5"/>
      <c r="AJ356" s="5"/>
      <c r="AK356" s="5"/>
      <c r="AL356" s="5"/>
      <c r="AM356" s="5"/>
      <c r="AN356" s="5"/>
      <c r="AO356" s="5"/>
      <c r="AP356" s="5"/>
      <c r="AQ356" s="5"/>
      <c r="AR356" s="5"/>
      <c r="AS356" s="5"/>
      <c r="AT356" s="5"/>
      <c r="AU356" s="5"/>
      <c r="AV356" s="5"/>
      <c r="AW356" s="5"/>
      <c r="AX356" s="5"/>
      <c r="AY356" s="5"/>
      <c r="AZ356" s="5"/>
      <c r="BA356" s="5"/>
      <c r="BB356" s="5"/>
      <c r="BC356" s="5"/>
      <c r="BD356" s="5"/>
      <c r="BE356" s="5"/>
      <c r="BF356" s="5"/>
      <c r="BG356" s="5"/>
      <c r="BH356" s="5"/>
      <c r="BI356" s="5"/>
      <c r="BJ356" s="5"/>
      <c r="BK356" s="5"/>
      <c r="BL356" s="5"/>
      <c r="BM356" s="5"/>
      <c r="BN356" s="5"/>
      <c r="BO356" s="5"/>
      <c r="BP356" s="5"/>
      <c r="BQ356" s="5"/>
      <c r="BR356" s="5"/>
      <c r="BS356" s="5"/>
      <c r="BT356" s="5"/>
      <c r="BU356" s="5"/>
      <c r="BV356" s="5"/>
      <c r="BW356" s="5"/>
      <c r="BX356" s="5"/>
      <c r="BY356" s="5"/>
      <c r="BZ356" s="5"/>
      <c r="CA356" s="5"/>
      <c r="CB356" s="5"/>
      <c r="CC356" s="5"/>
      <c r="CD356" s="5"/>
      <c r="CE356" s="5"/>
      <c r="CF356" s="5"/>
      <c r="CG356" s="5"/>
      <c r="CH356" s="5"/>
      <c r="CI356" s="5"/>
      <c r="CJ356" s="5"/>
      <c r="CK356" s="5"/>
      <c r="CL356" s="5"/>
      <c r="CM356" s="5"/>
      <c r="CN356" s="5"/>
      <c r="CO356" s="5"/>
      <c r="CP356" s="5"/>
      <c r="CQ356" s="5"/>
      <c r="CR356" s="5"/>
      <c r="CS356" s="5"/>
      <c r="CT356" s="5"/>
      <c r="CU356" s="5"/>
      <c r="CV356" s="5"/>
      <c r="CW356" s="5"/>
      <c r="CX356" s="5"/>
      <c r="CY356" s="5"/>
      <c r="CZ356" s="5"/>
      <c r="DA356" s="5"/>
      <c r="DB356" s="5"/>
      <c r="DC356" s="5"/>
      <c r="DD356" s="5"/>
      <c r="DE356" s="5"/>
      <c r="DF356" s="5"/>
      <c r="DG356" s="5"/>
      <c r="DH356" s="5"/>
      <c r="DI356" s="5"/>
      <c r="DJ356" s="5"/>
      <c r="DK356" s="5"/>
      <c r="DL356" s="5"/>
      <c r="DM356" s="5"/>
      <c r="DN356" s="5"/>
      <c r="DO356" s="5"/>
      <c r="DP356" s="5"/>
      <c r="DQ356" s="5"/>
      <c r="DR356" s="5"/>
      <c r="DS356" s="5"/>
      <c r="DT356" s="5"/>
      <c r="DU356" s="5"/>
      <c r="DV356" s="5"/>
      <c r="DW356" s="5"/>
      <c r="DX356" s="5"/>
      <c r="DY356" s="5"/>
      <c r="DZ356" s="5"/>
      <c r="EA356" s="5"/>
      <c r="EB356" s="5"/>
      <c r="EC356" s="5"/>
      <c r="ED356" s="5"/>
      <c r="EE356" s="5"/>
      <c r="EF356" s="5"/>
      <c r="EG356" s="5"/>
      <c r="EH356" s="5"/>
      <c r="EI356" s="5"/>
      <c r="EJ356" s="5"/>
      <c r="EK356" s="5"/>
      <c r="EL356" s="5"/>
      <c r="EM356" s="5"/>
      <c r="EN356" s="5"/>
      <c r="EO356" s="5"/>
      <c r="EP356" s="5"/>
      <c r="EQ356" s="5"/>
      <c r="ER356" s="5"/>
      <c r="ES356" s="5"/>
      <c r="ET356" s="5"/>
      <c r="EU356" s="5"/>
      <c r="EV356" s="5"/>
      <c r="EW356" s="5"/>
      <c r="EX356" s="5"/>
      <c r="EY356" s="5"/>
      <c r="EZ356" s="5"/>
      <c r="FA356" s="5"/>
      <c r="FB356" s="5"/>
      <c r="FC356" s="5"/>
      <c r="FD356" s="5"/>
      <c r="FE356" s="5"/>
      <c r="FF356" s="5"/>
      <c r="FG356" s="5"/>
      <c r="FH356" s="5"/>
      <c r="FI356" s="5"/>
      <c r="FJ356" s="5"/>
      <c r="FK356" s="5"/>
      <c r="FL356" s="5"/>
      <c r="FM356" s="5"/>
      <c r="FN356" s="5"/>
      <c r="FO356" s="5"/>
      <c r="FP356" s="5"/>
      <c r="FQ356" s="5"/>
      <c r="FR356" s="5"/>
      <c r="FS356" s="5"/>
      <c r="FT356" s="5"/>
      <c r="FU356" s="5"/>
      <c r="FV356" s="5"/>
      <c r="FW356" s="5"/>
      <c r="FX356" s="5"/>
      <c r="FY356" s="5"/>
      <c r="FZ356" s="5"/>
      <c r="GA356" s="5"/>
      <c r="GB356" s="5"/>
      <c r="GC356" s="5"/>
      <c r="GD356" s="5"/>
      <c r="GE356" s="5"/>
      <c r="GF356" s="5"/>
      <c r="GG356" s="5"/>
      <c r="GH356" s="5"/>
      <c r="GI356" s="5"/>
      <c r="GJ356" s="5"/>
      <c r="GK356" s="5"/>
      <c r="GL356" s="5"/>
      <c r="GM356" s="5"/>
      <c r="GN356" s="5"/>
      <c r="GO356" s="5"/>
      <c r="GP356" s="5"/>
      <c r="GQ356" s="5"/>
      <c r="GR356" s="5"/>
      <c r="GS356" s="5"/>
      <c r="GT356" s="5"/>
      <c r="GU356" s="5"/>
      <c r="GV356" s="5"/>
      <c r="GW356" s="5"/>
      <c r="GX356" s="5"/>
      <c r="GY356" s="5"/>
      <c r="GZ356" s="5"/>
      <c r="HA356" s="5"/>
      <c r="HB356" s="5"/>
      <c r="HC356" s="5"/>
      <c r="HD356" s="5"/>
      <c r="HE356" s="5"/>
      <c r="HF356" s="5"/>
      <c r="HG356" s="5"/>
      <c r="HH356" s="5"/>
      <c r="HI356" s="5"/>
      <c r="HJ356" s="5"/>
      <c r="HK356" s="5"/>
      <c r="HL356" s="5"/>
      <c r="HM356" s="5"/>
      <c r="HN356" s="5"/>
      <c r="HO356" s="5"/>
      <c r="HP356" s="5"/>
      <c r="HQ356" s="5"/>
      <c r="HR356" s="5"/>
      <c r="HS356" s="5"/>
      <c r="HT356" s="5"/>
      <c r="HU356" s="5"/>
      <c r="HV356" s="5"/>
      <c r="HW356" s="5"/>
      <c r="HX356" s="5"/>
      <c r="HY356" s="5"/>
      <c r="HZ356" s="5"/>
      <c r="IA356" s="5"/>
      <c r="IB356" s="5"/>
      <c r="IC356" s="5"/>
      <c r="ID356" s="5"/>
      <c r="IE356" s="5"/>
    </row>
    <row r="357" spans="1:239" s="523" customFormat="1" ht="75" customHeight="1" x14ac:dyDescent="0.5">
      <c r="A357" s="7"/>
      <c r="B357" s="517"/>
      <c r="C357" s="518" t="s">
        <v>636</v>
      </c>
      <c r="D357" s="511"/>
      <c r="E357" s="511"/>
      <c r="F357" s="519"/>
      <c r="G357" s="520"/>
      <c r="H357" s="520"/>
      <c r="I357" s="520"/>
      <c r="J357" s="520"/>
      <c r="K357" s="674" t="s">
        <v>637</v>
      </c>
      <c r="L357" s="674"/>
      <c r="M357" s="521"/>
      <c r="N357" s="521"/>
      <c r="O357" s="522"/>
      <c r="P357" s="7"/>
      <c r="Q357" s="5"/>
      <c r="R357" s="5"/>
      <c r="S357" s="5"/>
      <c r="T357" s="5"/>
      <c r="U357" s="5"/>
      <c r="V357" s="7"/>
      <c r="W357" s="7"/>
      <c r="X357" s="7"/>
      <c r="Y357" s="7"/>
      <c r="Z357" s="7"/>
      <c r="AA357" s="7"/>
      <c r="AB357" s="7"/>
      <c r="AC357" s="7"/>
      <c r="AD357" s="7"/>
      <c r="AE357" s="7"/>
      <c r="AF357" s="7"/>
      <c r="AG357" s="7"/>
      <c r="AH357" s="7"/>
      <c r="AI357" s="7"/>
      <c r="AJ357" s="7"/>
      <c r="AK357" s="7"/>
      <c r="AL357" s="7"/>
      <c r="AM357" s="7"/>
      <c r="AN357" s="7"/>
      <c r="AO357" s="7"/>
      <c r="AP357" s="7"/>
      <c r="AQ357" s="7"/>
      <c r="AR357" s="7"/>
      <c r="AS357" s="7"/>
      <c r="AT357" s="7"/>
      <c r="AU357" s="7"/>
      <c r="AV357" s="7"/>
      <c r="AW357" s="7"/>
      <c r="AX357" s="7"/>
      <c r="AY357" s="7"/>
      <c r="AZ357" s="7"/>
      <c r="BA357" s="7"/>
      <c r="BB357" s="7"/>
      <c r="BC357" s="7"/>
      <c r="BD357" s="7"/>
      <c r="BE357" s="7"/>
      <c r="BF357" s="7"/>
      <c r="BG357" s="7"/>
      <c r="BH357" s="7"/>
      <c r="BI357" s="7"/>
      <c r="BJ357" s="7"/>
      <c r="BK357" s="7"/>
      <c r="BL357" s="7"/>
      <c r="BM357" s="7"/>
      <c r="BN357" s="7"/>
      <c r="BO357" s="7"/>
      <c r="BP357" s="7"/>
      <c r="BQ357" s="7"/>
      <c r="BR357" s="7"/>
      <c r="BS357" s="7"/>
      <c r="BT357" s="7"/>
      <c r="BU357" s="7"/>
      <c r="BV357" s="7"/>
      <c r="BW357" s="7"/>
      <c r="BX357" s="7"/>
      <c r="BY357" s="7"/>
      <c r="BZ357" s="7"/>
      <c r="CA357" s="7"/>
      <c r="CB357" s="7"/>
      <c r="CC357" s="7"/>
      <c r="CD357" s="7"/>
      <c r="CE357" s="7"/>
      <c r="CF357" s="7"/>
      <c r="CG357" s="7"/>
      <c r="CH357" s="7"/>
      <c r="CI357" s="7"/>
      <c r="CJ357" s="7"/>
      <c r="CK357" s="7"/>
      <c r="CL357" s="7"/>
      <c r="CM357" s="7"/>
      <c r="CN357" s="7"/>
      <c r="CO357" s="7"/>
      <c r="CP357" s="7"/>
      <c r="CQ357" s="7"/>
      <c r="CR357" s="7"/>
      <c r="CS357" s="7"/>
      <c r="CT357" s="7"/>
      <c r="CU357" s="7"/>
      <c r="CV357" s="7"/>
      <c r="CW357" s="7"/>
      <c r="CX357" s="7"/>
      <c r="CY357" s="7"/>
      <c r="CZ357" s="7"/>
      <c r="DA357" s="7"/>
      <c r="DB357" s="7"/>
      <c r="DC357" s="7"/>
      <c r="DD357" s="7"/>
      <c r="DE357" s="7"/>
      <c r="DF357" s="7"/>
      <c r="DG357" s="7"/>
      <c r="DH357" s="7"/>
      <c r="DI357" s="7"/>
      <c r="DJ357" s="7"/>
      <c r="DK357" s="7"/>
      <c r="DL357" s="7"/>
      <c r="DM357" s="7"/>
      <c r="DN357" s="7"/>
      <c r="DO357" s="7"/>
      <c r="DP357" s="7"/>
      <c r="DQ357" s="7"/>
      <c r="DR357" s="7"/>
      <c r="DS357" s="7"/>
      <c r="DT357" s="7"/>
      <c r="DU357" s="7"/>
      <c r="DV357" s="7"/>
      <c r="DW357" s="7"/>
      <c r="DX357" s="7"/>
      <c r="DY357" s="7"/>
      <c r="DZ357" s="7"/>
      <c r="EA357" s="7"/>
      <c r="EB357" s="7"/>
      <c r="EC357" s="7"/>
      <c r="ED357" s="7"/>
      <c r="EE357" s="7"/>
      <c r="EF357" s="7"/>
      <c r="EG357" s="7"/>
      <c r="EH357" s="7"/>
      <c r="EI357" s="7"/>
      <c r="EJ357" s="7"/>
      <c r="EK357" s="7"/>
      <c r="EL357" s="7"/>
      <c r="EM357" s="7"/>
      <c r="EN357" s="7"/>
      <c r="EO357" s="7"/>
      <c r="EP357" s="7"/>
      <c r="EQ357" s="7"/>
      <c r="ER357" s="7"/>
      <c r="ES357" s="7"/>
      <c r="ET357" s="7"/>
      <c r="EU357" s="7"/>
      <c r="EV357" s="7"/>
      <c r="EW357" s="7"/>
      <c r="EX357" s="7"/>
      <c r="EY357" s="7"/>
      <c r="EZ357" s="7"/>
      <c r="FA357" s="7"/>
      <c r="FB357" s="7"/>
      <c r="FC357" s="7"/>
      <c r="FD357" s="7"/>
      <c r="FE357" s="7"/>
      <c r="FF357" s="7"/>
      <c r="FG357" s="7"/>
      <c r="FH357" s="7"/>
      <c r="FI357" s="7"/>
      <c r="FJ357" s="7"/>
      <c r="FK357" s="7"/>
      <c r="FL357" s="7"/>
      <c r="FM357" s="7"/>
      <c r="FN357" s="7"/>
      <c r="FO357" s="7"/>
      <c r="FP357" s="7"/>
      <c r="FQ357" s="7"/>
      <c r="FR357" s="7"/>
      <c r="FS357" s="7"/>
      <c r="FT357" s="7"/>
      <c r="FU357" s="7"/>
      <c r="FV357" s="7"/>
      <c r="FW357" s="7"/>
      <c r="FX357" s="7"/>
      <c r="FY357" s="7"/>
      <c r="FZ357" s="7"/>
      <c r="GA357" s="7"/>
      <c r="GB357" s="7"/>
      <c r="GC357" s="7"/>
      <c r="GD357" s="7"/>
      <c r="GE357" s="7"/>
      <c r="GF357" s="7"/>
      <c r="GG357" s="7"/>
      <c r="GH357" s="7"/>
      <c r="GI357" s="7"/>
      <c r="GJ357" s="7"/>
      <c r="GK357" s="7"/>
      <c r="GL357" s="7"/>
      <c r="GM357" s="7"/>
      <c r="GN357" s="7"/>
      <c r="GO357" s="7"/>
      <c r="GP357" s="7"/>
      <c r="GQ357" s="7"/>
      <c r="GR357" s="7"/>
      <c r="GS357" s="7"/>
      <c r="GT357" s="7"/>
      <c r="GU357" s="7"/>
      <c r="GV357" s="7"/>
      <c r="GW357" s="7"/>
      <c r="GX357" s="7"/>
      <c r="GY357" s="7"/>
      <c r="GZ357" s="7"/>
      <c r="HA357" s="7"/>
      <c r="HB357" s="7"/>
      <c r="HC357" s="7"/>
      <c r="HD357" s="7"/>
      <c r="HE357" s="7"/>
      <c r="HF357" s="7"/>
      <c r="HG357" s="7"/>
      <c r="HH357" s="7"/>
      <c r="HI357" s="7"/>
      <c r="HJ357" s="7"/>
      <c r="HK357" s="7"/>
      <c r="HL357" s="7"/>
      <c r="HM357" s="7"/>
      <c r="HN357" s="7"/>
      <c r="HO357" s="7"/>
      <c r="HP357" s="7"/>
      <c r="HQ357" s="7"/>
      <c r="HR357" s="7"/>
      <c r="HS357" s="7"/>
      <c r="HT357" s="7"/>
      <c r="HU357" s="7"/>
      <c r="HV357" s="7"/>
      <c r="HW357" s="7"/>
      <c r="HX357" s="7"/>
      <c r="HY357" s="7"/>
      <c r="HZ357" s="7"/>
      <c r="IA357" s="7"/>
      <c r="IB357" s="7"/>
      <c r="IC357" s="7"/>
      <c r="ID357" s="7"/>
      <c r="IE357" s="7"/>
    </row>
    <row r="358" spans="1:239" s="523" customFormat="1" ht="63.75" customHeight="1" x14ac:dyDescent="0.45">
      <c r="A358" s="7"/>
      <c r="B358" s="517"/>
      <c r="C358" s="7"/>
      <c r="D358" s="517"/>
      <c r="E358" s="517"/>
      <c r="F358" s="524"/>
      <c r="G358" s="525"/>
      <c r="H358" s="525"/>
      <c r="I358" s="525"/>
      <c r="J358" s="525"/>
      <c r="K358" s="525"/>
      <c r="L358" s="7"/>
      <c r="M358" s="7"/>
      <c r="N358" s="6"/>
      <c r="O358" s="522"/>
      <c r="P358" s="7"/>
      <c r="Q358" s="5"/>
      <c r="R358" s="5"/>
      <c r="S358" s="5"/>
      <c r="T358" s="5"/>
      <c r="U358" s="5"/>
      <c r="V358" s="7"/>
      <c r="W358" s="7"/>
      <c r="X358" s="7"/>
      <c r="Y358" s="7"/>
      <c r="Z358" s="7"/>
      <c r="AA358" s="7"/>
      <c r="AB358" s="7"/>
      <c r="AC358" s="7"/>
      <c r="AD358" s="7"/>
      <c r="AE358" s="7"/>
      <c r="AF358" s="7"/>
      <c r="AG358" s="7"/>
      <c r="AH358" s="7"/>
      <c r="AI358" s="7"/>
      <c r="AJ358" s="7"/>
      <c r="AK358" s="7"/>
      <c r="AL358" s="7"/>
      <c r="AM358" s="7"/>
      <c r="AN358" s="7"/>
      <c r="AO358" s="7"/>
      <c r="AP358" s="7"/>
      <c r="AQ358" s="7"/>
      <c r="AR358" s="7"/>
      <c r="AS358" s="7"/>
      <c r="AT358" s="7"/>
      <c r="AU358" s="7"/>
      <c r="AV358" s="7"/>
      <c r="AW358" s="7"/>
      <c r="AX358" s="7"/>
      <c r="AY358" s="7"/>
      <c r="AZ358" s="7"/>
      <c r="BA358" s="7"/>
      <c r="BB358" s="7"/>
      <c r="BC358" s="7"/>
      <c r="BD358" s="7"/>
      <c r="BE358" s="7"/>
      <c r="BF358" s="7"/>
      <c r="BG358" s="7"/>
      <c r="BH358" s="7"/>
      <c r="BI358" s="7"/>
      <c r="BJ358" s="7"/>
      <c r="BK358" s="7"/>
      <c r="BL358" s="7"/>
      <c r="BM358" s="7"/>
      <c r="BN358" s="7"/>
      <c r="BO358" s="7"/>
      <c r="BP358" s="7"/>
      <c r="BQ358" s="7"/>
      <c r="BR358" s="7"/>
      <c r="BS358" s="7"/>
      <c r="BT358" s="7"/>
      <c r="BU358" s="7"/>
      <c r="BV358" s="7"/>
      <c r="BW358" s="7"/>
      <c r="BX358" s="7"/>
      <c r="BY358" s="7"/>
      <c r="BZ358" s="7"/>
      <c r="CA358" s="7"/>
      <c r="CB358" s="7"/>
      <c r="CC358" s="7"/>
      <c r="CD358" s="7"/>
      <c r="CE358" s="7"/>
      <c r="CF358" s="7"/>
      <c r="CG358" s="7"/>
      <c r="CH358" s="7"/>
      <c r="CI358" s="7"/>
      <c r="CJ358" s="7"/>
      <c r="CK358" s="7"/>
      <c r="CL358" s="7"/>
      <c r="CM358" s="7"/>
      <c r="CN358" s="7"/>
      <c r="CO358" s="7"/>
      <c r="CP358" s="7"/>
      <c r="CQ358" s="7"/>
      <c r="CR358" s="7"/>
      <c r="CS358" s="7"/>
      <c r="CT358" s="7"/>
      <c r="CU358" s="7"/>
      <c r="CV358" s="7"/>
      <c r="CW358" s="7"/>
      <c r="CX358" s="7"/>
      <c r="CY358" s="7"/>
      <c r="CZ358" s="7"/>
      <c r="DA358" s="7"/>
      <c r="DB358" s="7"/>
      <c r="DC358" s="7"/>
      <c r="DD358" s="7"/>
      <c r="DE358" s="7"/>
      <c r="DF358" s="7"/>
      <c r="DG358" s="7"/>
      <c r="DH358" s="7"/>
      <c r="DI358" s="7"/>
      <c r="DJ358" s="7"/>
      <c r="DK358" s="7"/>
      <c r="DL358" s="7"/>
      <c r="DM358" s="7"/>
      <c r="DN358" s="7"/>
      <c r="DO358" s="7"/>
      <c r="DP358" s="7"/>
      <c r="DQ358" s="7"/>
      <c r="DR358" s="7"/>
      <c r="DS358" s="7"/>
      <c r="DT358" s="7"/>
      <c r="DU358" s="7"/>
      <c r="DV358" s="7"/>
      <c r="DW358" s="7"/>
      <c r="DX358" s="7"/>
      <c r="DY358" s="7"/>
      <c r="DZ358" s="7"/>
      <c r="EA358" s="7"/>
      <c r="EB358" s="7"/>
      <c r="EC358" s="7"/>
      <c r="ED358" s="7"/>
      <c r="EE358" s="7"/>
      <c r="EF358" s="7"/>
      <c r="EG358" s="7"/>
      <c r="EH358" s="7"/>
      <c r="EI358" s="7"/>
      <c r="EJ358" s="7"/>
      <c r="EK358" s="7"/>
      <c r="EL358" s="7"/>
      <c r="EM358" s="7"/>
      <c r="EN358" s="7"/>
      <c r="EO358" s="7"/>
      <c r="EP358" s="7"/>
      <c r="EQ358" s="7"/>
      <c r="ER358" s="7"/>
      <c r="ES358" s="7"/>
      <c r="ET358" s="7"/>
      <c r="EU358" s="7"/>
      <c r="EV358" s="7"/>
      <c r="EW358" s="7"/>
      <c r="EX358" s="7"/>
      <c r="EY358" s="7"/>
      <c r="EZ358" s="7"/>
      <c r="FA358" s="7"/>
      <c r="FB358" s="7"/>
      <c r="FC358" s="7"/>
      <c r="FD358" s="7"/>
      <c r="FE358" s="7"/>
      <c r="FF358" s="7"/>
      <c r="FG358" s="7"/>
      <c r="FH358" s="7"/>
      <c r="FI358" s="7"/>
      <c r="FJ358" s="7"/>
      <c r="FK358" s="7"/>
      <c r="FL358" s="7"/>
      <c r="FM358" s="7"/>
      <c r="FN358" s="7"/>
      <c r="FO358" s="7"/>
      <c r="FP358" s="7"/>
      <c r="FQ358" s="7"/>
      <c r="FR358" s="7"/>
      <c r="FS358" s="7"/>
      <c r="FT358" s="7"/>
      <c r="FU358" s="7"/>
      <c r="FV358" s="7"/>
      <c r="FW358" s="7"/>
      <c r="FX358" s="7"/>
      <c r="FY358" s="7"/>
      <c r="FZ358" s="7"/>
      <c r="GA358" s="7"/>
      <c r="GB358" s="7"/>
      <c r="GC358" s="7"/>
      <c r="GD358" s="7"/>
      <c r="GE358" s="7"/>
      <c r="GF358" s="7"/>
      <c r="GG358" s="7"/>
      <c r="GH358" s="7"/>
      <c r="GI358" s="7"/>
      <c r="GJ358" s="7"/>
      <c r="GK358" s="7"/>
      <c r="GL358" s="7"/>
      <c r="GM358" s="7"/>
      <c r="GN358" s="7"/>
      <c r="GO358" s="7"/>
      <c r="GP358" s="7"/>
      <c r="GQ358" s="7"/>
      <c r="GR358" s="7"/>
      <c r="GS358" s="7"/>
      <c r="GT358" s="7"/>
      <c r="GU358" s="7"/>
      <c r="GV358" s="7"/>
      <c r="GW358" s="7"/>
      <c r="GX358" s="7"/>
      <c r="GY358" s="7"/>
      <c r="GZ358" s="7"/>
      <c r="HA358" s="7"/>
      <c r="HB358" s="7"/>
      <c r="HC358" s="7"/>
      <c r="HD358" s="7"/>
      <c r="HE358" s="7"/>
      <c r="HF358" s="7"/>
      <c r="HG358" s="7"/>
      <c r="HH358" s="7"/>
      <c r="HI358" s="7"/>
      <c r="HJ358" s="7"/>
      <c r="HK358" s="7"/>
      <c r="HL358" s="7"/>
      <c r="HM358" s="7"/>
      <c r="HN358" s="7"/>
      <c r="HO358" s="7"/>
      <c r="HP358" s="7"/>
      <c r="HQ358" s="7"/>
      <c r="HR358" s="7"/>
      <c r="HS358" s="7"/>
      <c r="HT358" s="7"/>
      <c r="HU358" s="7"/>
      <c r="HV358" s="7"/>
      <c r="HW358" s="7"/>
      <c r="HX358" s="7"/>
      <c r="HY358" s="7"/>
      <c r="HZ358" s="7"/>
      <c r="IA358" s="7"/>
      <c r="IB358" s="7"/>
      <c r="IC358" s="7"/>
      <c r="ID358" s="7"/>
      <c r="IE358" s="7"/>
    </row>
    <row r="359" spans="1:239" s="523" customFormat="1" x14ac:dyDescent="0.45">
      <c r="A359" s="526"/>
      <c r="B359" s="7"/>
      <c r="C359" s="7"/>
      <c r="D359" s="7"/>
      <c r="E359" s="7"/>
      <c r="F359" s="6"/>
      <c r="G359" s="527"/>
      <c r="H359" s="527"/>
      <c r="I359" s="527"/>
      <c r="J359" s="528"/>
      <c r="K359" s="528"/>
      <c r="L359" s="527"/>
      <c r="M359" s="527"/>
      <c r="N359" s="529"/>
      <c r="O359" s="522"/>
      <c r="P359" s="7"/>
      <c r="Q359" s="5"/>
      <c r="R359" s="5"/>
      <c r="S359" s="5"/>
      <c r="T359" s="5"/>
      <c r="U359" s="5"/>
      <c r="V359" s="7"/>
      <c r="W359" s="7"/>
      <c r="X359" s="7"/>
      <c r="Y359" s="7"/>
      <c r="Z359" s="7"/>
      <c r="AA359" s="7"/>
      <c r="AB359" s="7"/>
      <c r="AC359" s="7"/>
      <c r="AD359" s="7"/>
      <c r="AE359" s="7"/>
      <c r="AF359" s="7"/>
      <c r="AG359" s="7"/>
      <c r="AH359" s="7"/>
      <c r="AI359" s="7"/>
      <c r="AJ359" s="7"/>
      <c r="AK359" s="7"/>
      <c r="AL359" s="7"/>
      <c r="AM359" s="7"/>
      <c r="AN359" s="7"/>
      <c r="AO359" s="7"/>
      <c r="AP359" s="7"/>
      <c r="AQ359" s="7"/>
      <c r="AR359" s="7"/>
      <c r="AS359" s="7"/>
      <c r="AT359" s="7"/>
      <c r="AU359" s="7"/>
      <c r="AV359" s="7"/>
      <c r="AW359" s="7"/>
      <c r="AX359" s="7"/>
      <c r="AY359" s="7"/>
      <c r="AZ359" s="7"/>
      <c r="BA359" s="7"/>
      <c r="BB359" s="7"/>
      <c r="BC359" s="7"/>
      <c r="BD359" s="7"/>
      <c r="BE359" s="7"/>
      <c r="BF359" s="7"/>
      <c r="BG359" s="7"/>
      <c r="BH359" s="7"/>
      <c r="BI359" s="7"/>
      <c r="BJ359" s="7"/>
      <c r="BK359" s="7"/>
      <c r="BL359" s="7"/>
      <c r="BM359" s="7"/>
      <c r="BN359" s="7"/>
      <c r="BO359" s="7"/>
      <c r="BP359" s="7"/>
      <c r="BQ359" s="7"/>
      <c r="BR359" s="7"/>
      <c r="BS359" s="7"/>
      <c r="BT359" s="7"/>
      <c r="BU359" s="7"/>
      <c r="BV359" s="7"/>
      <c r="BW359" s="7"/>
      <c r="BX359" s="7"/>
      <c r="BY359" s="7"/>
      <c r="BZ359" s="7"/>
      <c r="CA359" s="7"/>
      <c r="CB359" s="7"/>
      <c r="CC359" s="7"/>
      <c r="CD359" s="7"/>
      <c r="CE359" s="7"/>
      <c r="CF359" s="7"/>
      <c r="CG359" s="7"/>
      <c r="CH359" s="7"/>
      <c r="CI359" s="7"/>
      <c r="CJ359" s="7"/>
      <c r="CK359" s="7"/>
      <c r="CL359" s="7"/>
      <c r="CM359" s="7"/>
      <c r="CN359" s="7"/>
      <c r="CO359" s="7"/>
      <c r="CP359" s="7"/>
      <c r="CQ359" s="7"/>
      <c r="CR359" s="7"/>
      <c r="CS359" s="7"/>
      <c r="CT359" s="7"/>
      <c r="CU359" s="7"/>
      <c r="CV359" s="7"/>
      <c r="CW359" s="7"/>
      <c r="CX359" s="7"/>
      <c r="CY359" s="7"/>
      <c r="CZ359" s="7"/>
      <c r="DA359" s="7"/>
      <c r="DB359" s="7"/>
      <c r="DC359" s="7"/>
      <c r="DD359" s="7"/>
      <c r="DE359" s="7"/>
      <c r="DF359" s="7"/>
      <c r="DG359" s="7"/>
      <c r="DH359" s="7"/>
      <c r="DI359" s="7"/>
      <c r="DJ359" s="7"/>
      <c r="DK359" s="7"/>
      <c r="DL359" s="7"/>
      <c r="DM359" s="7"/>
      <c r="DN359" s="7"/>
      <c r="DO359" s="7"/>
      <c r="DP359" s="7"/>
      <c r="DQ359" s="7"/>
      <c r="DR359" s="7"/>
      <c r="DS359" s="7"/>
      <c r="DT359" s="7"/>
      <c r="DU359" s="7"/>
      <c r="DV359" s="7"/>
      <c r="DW359" s="7"/>
      <c r="DX359" s="7"/>
      <c r="DY359" s="7"/>
      <c r="DZ359" s="7"/>
      <c r="EA359" s="7"/>
      <c r="EB359" s="7"/>
      <c r="EC359" s="7"/>
      <c r="ED359" s="7"/>
      <c r="EE359" s="7"/>
      <c r="EF359" s="7"/>
      <c r="EG359" s="7"/>
      <c r="EH359" s="7"/>
      <c r="EI359" s="7"/>
      <c r="EJ359" s="7"/>
      <c r="EK359" s="7"/>
      <c r="EL359" s="7"/>
      <c r="EM359" s="7"/>
      <c r="EN359" s="7"/>
      <c r="EO359" s="7"/>
      <c r="EP359" s="7"/>
      <c r="EQ359" s="7"/>
      <c r="ER359" s="7"/>
      <c r="ES359" s="7"/>
      <c r="ET359" s="7"/>
      <c r="EU359" s="7"/>
      <c r="EV359" s="7"/>
      <c r="EW359" s="7"/>
      <c r="EX359" s="7"/>
      <c r="EY359" s="7"/>
      <c r="EZ359" s="7"/>
      <c r="FA359" s="7"/>
      <c r="FB359" s="7"/>
      <c r="FC359" s="7"/>
      <c r="FD359" s="7"/>
      <c r="FE359" s="7"/>
      <c r="FF359" s="7"/>
      <c r="FG359" s="7"/>
      <c r="FH359" s="7"/>
      <c r="FI359" s="7"/>
      <c r="FJ359" s="7"/>
      <c r="FK359" s="7"/>
      <c r="FL359" s="7"/>
      <c r="FM359" s="7"/>
      <c r="FN359" s="7"/>
      <c r="FO359" s="7"/>
      <c r="FP359" s="7"/>
      <c r="FQ359" s="7"/>
      <c r="FR359" s="7"/>
      <c r="FS359" s="7"/>
      <c r="FT359" s="7"/>
      <c r="FU359" s="7"/>
      <c r="FV359" s="7"/>
      <c r="FW359" s="7"/>
      <c r="FX359" s="7"/>
      <c r="FY359" s="7"/>
      <c r="FZ359" s="7"/>
      <c r="GA359" s="7"/>
      <c r="GB359" s="7"/>
      <c r="GC359" s="7"/>
      <c r="GD359" s="7"/>
      <c r="GE359" s="7"/>
      <c r="GF359" s="7"/>
      <c r="GG359" s="7"/>
      <c r="GH359" s="7"/>
      <c r="GI359" s="7"/>
      <c r="GJ359" s="7"/>
      <c r="GK359" s="7"/>
      <c r="GL359" s="7"/>
      <c r="GM359" s="7"/>
      <c r="GN359" s="7"/>
      <c r="GO359" s="7"/>
      <c r="GP359" s="7"/>
      <c r="GQ359" s="7"/>
      <c r="GR359" s="7"/>
      <c r="GS359" s="7"/>
      <c r="GT359" s="7"/>
      <c r="GU359" s="7"/>
      <c r="GV359" s="7"/>
      <c r="GW359" s="7"/>
      <c r="GX359" s="7"/>
      <c r="GY359" s="7"/>
      <c r="GZ359" s="7"/>
      <c r="HA359" s="7"/>
      <c r="HB359" s="7"/>
      <c r="HC359" s="7"/>
      <c r="HD359" s="7"/>
      <c r="HE359" s="7"/>
      <c r="HF359" s="7"/>
      <c r="HG359" s="7"/>
      <c r="HH359" s="7"/>
      <c r="HI359" s="7"/>
      <c r="HJ359" s="7"/>
      <c r="HK359" s="7"/>
      <c r="HL359" s="7"/>
      <c r="HM359" s="7"/>
      <c r="HN359" s="7"/>
      <c r="HO359" s="7"/>
      <c r="HP359" s="7"/>
      <c r="HQ359" s="7"/>
      <c r="HR359" s="7"/>
      <c r="HS359" s="7"/>
      <c r="HT359" s="7"/>
      <c r="HU359" s="7"/>
      <c r="HV359" s="7"/>
      <c r="HW359" s="7"/>
      <c r="HX359" s="7"/>
      <c r="HY359" s="7"/>
      <c r="HZ359" s="7"/>
      <c r="IA359" s="7"/>
      <c r="IB359" s="7"/>
      <c r="IC359" s="7"/>
      <c r="ID359" s="7"/>
      <c r="IE359" s="7"/>
    </row>
    <row r="360" spans="1:239" x14ac:dyDescent="0.45">
      <c r="C360" s="530"/>
      <c r="G360" s="531"/>
      <c r="H360" s="532"/>
      <c r="I360" s="532"/>
      <c r="J360" s="532">
        <f>+J353-'[1]сесія вер'!J346</f>
        <v>95355.900000000373</v>
      </c>
      <c r="K360" s="533"/>
      <c r="O360" s="4"/>
      <c r="P360" s="5"/>
      <c r="Q360" s="5"/>
      <c r="R360" s="5"/>
      <c r="S360" s="5"/>
      <c r="T360" s="5"/>
      <c r="U360" s="5"/>
      <c r="V360" s="5"/>
      <c r="W360" s="5"/>
      <c r="X360" s="5"/>
      <c r="Y360" s="5"/>
      <c r="Z360" s="5"/>
      <c r="AA360" s="5"/>
      <c r="AB360" s="5"/>
      <c r="AC360" s="5"/>
      <c r="AD360" s="5"/>
      <c r="AE360" s="5"/>
      <c r="AF360" s="5"/>
      <c r="AG360" s="5"/>
      <c r="AH360" s="5"/>
      <c r="AI360" s="5"/>
      <c r="AJ360" s="5"/>
      <c r="AK360" s="5"/>
      <c r="AL360" s="5"/>
      <c r="AM360" s="5"/>
      <c r="AN360" s="5"/>
      <c r="AO360" s="5"/>
      <c r="AP360" s="5"/>
      <c r="AQ360" s="5"/>
      <c r="AR360" s="5"/>
      <c r="AS360" s="5"/>
      <c r="AT360" s="5"/>
      <c r="AU360" s="5"/>
      <c r="AV360" s="5"/>
      <c r="AW360" s="5"/>
      <c r="AX360" s="5"/>
      <c r="AY360" s="5"/>
      <c r="AZ360" s="5"/>
      <c r="BA360" s="5"/>
      <c r="BB360" s="5"/>
      <c r="BC360" s="5"/>
      <c r="BD360" s="5"/>
      <c r="BE360" s="5"/>
      <c r="BF360" s="5"/>
      <c r="BG360" s="5"/>
      <c r="BH360" s="5"/>
      <c r="BI360" s="5"/>
      <c r="BJ360" s="5"/>
      <c r="BK360" s="5"/>
      <c r="BL360" s="5"/>
      <c r="BM360" s="5"/>
      <c r="BN360" s="5"/>
      <c r="BO360" s="5"/>
      <c r="BP360" s="5"/>
      <c r="BQ360" s="5"/>
      <c r="BR360" s="5"/>
      <c r="BS360" s="5"/>
      <c r="BT360" s="5"/>
      <c r="BU360" s="5"/>
      <c r="BV360" s="5"/>
      <c r="BW360" s="5"/>
      <c r="BX360" s="5"/>
      <c r="BY360" s="5"/>
      <c r="BZ360" s="5"/>
      <c r="CA360" s="5"/>
      <c r="CB360" s="5"/>
      <c r="CC360" s="5"/>
      <c r="CD360" s="5"/>
      <c r="CE360" s="5"/>
      <c r="CF360" s="5"/>
      <c r="CG360" s="5"/>
      <c r="CH360" s="5"/>
      <c r="CI360" s="5"/>
      <c r="CJ360" s="5"/>
      <c r="CK360" s="5"/>
      <c r="CL360" s="5"/>
      <c r="CM360" s="5"/>
      <c r="CN360" s="5"/>
      <c r="CO360" s="5"/>
      <c r="CP360" s="5"/>
      <c r="CQ360" s="5"/>
      <c r="CR360" s="5"/>
      <c r="CS360" s="5"/>
      <c r="CT360" s="5"/>
      <c r="CU360" s="5"/>
      <c r="CV360" s="5"/>
      <c r="CW360" s="5"/>
      <c r="CX360" s="5"/>
      <c r="CY360" s="5"/>
      <c r="CZ360" s="5"/>
      <c r="DA360" s="5"/>
      <c r="DB360" s="5"/>
      <c r="DC360" s="5"/>
      <c r="DD360" s="5"/>
      <c r="DE360" s="5"/>
      <c r="DF360" s="5"/>
      <c r="DG360" s="5"/>
      <c r="DH360" s="5"/>
      <c r="DI360" s="5"/>
      <c r="DJ360" s="5"/>
      <c r="DK360" s="5"/>
      <c r="DL360" s="5"/>
      <c r="DM360" s="5"/>
      <c r="DN360" s="5"/>
      <c r="DO360" s="5"/>
      <c r="DP360" s="5"/>
      <c r="DQ360" s="5"/>
      <c r="DR360" s="5"/>
      <c r="DS360" s="5"/>
      <c r="DT360" s="5"/>
      <c r="DU360" s="5"/>
      <c r="DV360" s="5"/>
      <c r="DW360" s="5"/>
      <c r="DX360" s="5"/>
      <c r="DY360" s="5"/>
      <c r="DZ360" s="5"/>
      <c r="EA360" s="5"/>
      <c r="EB360" s="5"/>
      <c r="EC360" s="5"/>
      <c r="ED360" s="5"/>
      <c r="EE360" s="5"/>
      <c r="EF360" s="5"/>
      <c r="EG360" s="5"/>
      <c r="EH360" s="5"/>
      <c r="EI360" s="5"/>
      <c r="EJ360" s="5"/>
      <c r="EK360" s="5"/>
      <c r="EL360" s="5"/>
      <c r="EM360" s="5"/>
      <c r="EN360" s="5"/>
      <c r="EO360" s="5"/>
      <c r="EP360" s="5"/>
      <c r="EQ360" s="5"/>
      <c r="ER360" s="5"/>
      <c r="ES360" s="5"/>
      <c r="ET360" s="5"/>
      <c r="EU360" s="5"/>
      <c r="EV360" s="5"/>
      <c r="EW360" s="5"/>
      <c r="EX360" s="5"/>
      <c r="EY360" s="5"/>
      <c r="EZ360" s="5"/>
      <c r="FA360" s="5"/>
      <c r="FB360" s="5"/>
      <c r="FC360" s="5"/>
      <c r="FD360" s="5"/>
      <c r="FE360" s="5"/>
      <c r="FF360" s="5"/>
      <c r="FG360" s="5"/>
      <c r="FH360" s="5"/>
      <c r="FI360" s="5"/>
      <c r="FJ360" s="5"/>
      <c r="FK360" s="5"/>
      <c r="FL360" s="5"/>
      <c r="FM360" s="5"/>
      <c r="FN360" s="5"/>
      <c r="FO360" s="5"/>
      <c r="FP360" s="5"/>
      <c r="FQ360" s="5"/>
      <c r="FR360" s="5"/>
      <c r="FS360" s="5"/>
      <c r="FT360" s="5"/>
      <c r="FU360" s="5"/>
      <c r="FV360" s="5"/>
      <c r="FW360" s="5"/>
      <c r="FX360" s="5"/>
      <c r="FY360" s="5"/>
      <c r="FZ360" s="5"/>
      <c r="GA360" s="5"/>
      <c r="GB360" s="5"/>
      <c r="GC360" s="5"/>
      <c r="GD360" s="5"/>
      <c r="GE360" s="5"/>
      <c r="GF360" s="5"/>
      <c r="GG360" s="5"/>
      <c r="GH360" s="5"/>
      <c r="GI360" s="5"/>
      <c r="GJ360" s="5"/>
      <c r="GK360" s="5"/>
      <c r="GL360" s="5"/>
      <c r="GM360" s="5"/>
      <c r="GN360" s="5"/>
      <c r="GO360" s="5"/>
      <c r="GP360" s="5"/>
      <c r="GQ360" s="5"/>
      <c r="GR360" s="5"/>
      <c r="GS360" s="5"/>
      <c r="GT360" s="5"/>
      <c r="GU360" s="5"/>
      <c r="GV360" s="5"/>
      <c r="GW360" s="5"/>
      <c r="GX360" s="5"/>
      <c r="GY360" s="5"/>
      <c r="GZ360" s="5"/>
      <c r="HA360" s="5"/>
      <c r="HB360" s="5"/>
      <c r="HC360" s="5"/>
      <c r="HD360" s="5"/>
      <c r="HE360" s="5"/>
      <c r="HF360" s="5"/>
      <c r="HG360" s="5"/>
      <c r="HH360" s="5"/>
      <c r="HI360" s="5"/>
      <c r="HJ360" s="5"/>
      <c r="HK360" s="5"/>
      <c r="HL360" s="5"/>
      <c r="HM360" s="5"/>
      <c r="HN360" s="5"/>
      <c r="HO360" s="5"/>
      <c r="HP360" s="5"/>
      <c r="HQ360" s="5"/>
      <c r="HR360" s="5"/>
      <c r="HS360" s="5"/>
      <c r="HT360" s="5"/>
      <c r="HU360" s="5"/>
      <c r="HV360" s="5"/>
      <c r="HW360" s="5"/>
      <c r="HX360" s="5"/>
      <c r="HY360" s="5"/>
      <c r="HZ360" s="5"/>
      <c r="IA360" s="5"/>
      <c r="IB360" s="5"/>
      <c r="IC360" s="5"/>
      <c r="ID360" s="5"/>
      <c r="IE360" s="5"/>
    </row>
    <row r="361" spans="1:239" ht="172.5" customHeight="1" x14ac:dyDescent="0.45">
      <c r="H361" s="534"/>
      <c r="I361" s="534"/>
      <c r="J361" s="534"/>
      <c r="O361" s="4"/>
      <c r="P361" s="5"/>
      <c r="Q361" s="5"/>
      <c r="R361" s="5"/>
      <c r="S361" s="5"/>
      <c r="T361" s="5"/>
      <c r="U361" s="5"/>
      <c r="V361" s="5"/>
      <c r="W361" s="5"/>
      <c r="X361" s="5"/>
      <c r="Y361" s="5"/>
      <c r="Z361" s="5"/>
      <c r="AA361" s="5"/>
      <c r="AB361" s="5"/>
      <c r="AC361" s="5"/>
      <c r="AD361" s="5"/>
      <c r="AE361" s="5"/>
      <c r="AF361" s="5"/>
      <c r="AG361" s="5"/>
      <c r="AH361" s="5"/>
      <c r="AI361" s="5"/>
      <c r="AJ361" s="5"/>
      <c r="AK361" s="5"/>
      <c r="AL361" s="5"/>
      <c r="AM361" s="5"/>
      <c r="AN361" s="5"/>
      <c r="AO361" s="5"/>
      <c r="AP361" s="5"/>
      <c r="AQ361" s="5"/>
      <c r="AR361" s="5"/>
      <c r="AS361" s="5"/>
      <c r="AT361" s="5"/>
      <c r="AU361" s="5"/>
      <c r="AV361" s="5"/>
      <c r="AW361" s="5"/>
      <c r="AX361" s="5"/>
      <c r="AY361" s="5"/>
      <c r="AZ361" s="5"/>
      <c r="BA361" s="5"/>
      <c r="BB361" s="5"/>
      <c r="BC361" s="5"/>
      <c r="BD361" s="5"/>
      <c r="BE361" s="5"/>
      <c r="BF361" s="5"/>
      <c r="BG361" s="5"/>
      <c r="BH361" s="5"/>
      <c r="BI361" s="5"/>
      <c r="BJ361" s="5"/>
      <c r="BK361" s="5"/>
      <c r="BL361" s="5"/>
      <c r="BM361" s="5"/>
      <c r="BN361" s="5"/>
      <c r="BO361" s="5"/>
      <c r="BP361" s="5"/>
      <c r="BQ361" s="5"/>
      <c r="BR361" s="5"/>
      <c r="BS361" s="5"/>
      <c r="BT361" s="5"/>
      <c r="BU361" s="5"/>
      <c r="BV361" s="5"/>
      <c r="BW361" s="5"/>
      <c r="BX361" s="5"/>
      <c r="BY361" s="5"/>
      <c r="BZ361" s="5"/>
      <c r="CA361" s="5"/>
      <c r="CB361" s="5"/>
      <c r="CC361" s="5"/>
      <c r="CD361" s="5"/>
      <c r="CE361" s="5"/>
      <c r="CF361" s="5"/>
      <c r="CG361" s="5"/>
      <c r="CH361" s="5"/>
      <c r="CI361" s="5"/>
      <c r="CJ361" s="5"/>
      <c r="CK361" s="5"/>
      <c r="CL361" s="5"/>
      <c r="CM361" s="5"/>
      <c r="CN361" s="5"/>
      <c r="CO361" s="5"/>
      <c r="CP361" s="5"/>
      <c r="CQ361" s="5"/>
      <c r="CR361" s="5"/>
      <c r="CS361" s="5"/>
      <c r="CT361" s="5"/>
      <c r="CU361" s="5"/>
      <c r="CV361" s="5"/>
      <c r="CW361" s="5"/>
      <c r="CX361" s="5"/>
      <c r="CY361" s="5"/>
      <c r="CZ361" s="5"/>
      <c r="DA361" s="5"/>
      <c r="DB361" s="5"/>
      <c r="DC361" s="5"/>
      <c r="DD361" s="5"/>
      <c r="DE361" s="5"/>
      <c r="DF361" s="5"/>
      <c r="DG361" s="5"/>
      <c r="DH361" s="5"/>
      <c r="DI361" s="5"/>
      <c r="DJ361" s="5"/>
      <c r="DK361" s="5"/>
      <c r="DL361" s="5"/>
      <c r="DM361" s="5"/>
      <c r="DN361" s="5"/>
      <c r="DO361" s="5"/>
      <c r="DP361" s="5"/>
      <c r="DQ361" s="5"/>
      <c r="DR361" s="5"/>
      <c r="DS361" s="5"/>
      <c r="DT361" s="5"/>
      <c r="DU361" s="5"/>
      <c r="DV361" s="5"/>
      <c r="DW361" s="5"/>
      <c r="DX361" s="5"/>
      <c r="DY361" s="5"/>
      <c r="DZ361" s="5"/>
      <c r="EA361" s="5"/>
      <c r="EB361" s="5"/>
      <c r="EC361" s="5"/>
      <c r="ED361" s="5"/>
      <c r="EE361" s="5"/>
      <c r="EF361" s="5"/>
      <c r="EG361" s="5"/>
      <c r="EH361" s="5"/>
      <c r="EI361" s="5"/>
      <c r="EJ361" s="5"/>
      <c r="EK361" s="5"/>
      <c r="EL361" s="5"/>
      <c r="EM361" s="5"/>
      <c r="EN361" s="5"/>
      <c r="EO361" s="5"/>
      <c r="EP361" s="5"/>
      <c r="EQ361" s="5"/>
      <c r="ER361" s="5"/>
      <c r="ES361" s="5"/>
      <c r="ET361" s="5"/>
      <c r="EU361" s="5"/>
      <c r="EV361" s="5"/>
      <c r="EW361" s="5"/>
      <c r="EX361" s="5"/>
      <c r="EY361" s="5"/>
      <c r="EZ361" s="5"/>
      <c r="FA361" s="5"/>
      <c r="FB361" s="5"/>
      <c r="FC361" s="5"/>
      <c r="FD361" s="5"/>
      <c r="FE361" s="5"/>
      <c r="FF361" s="5"/>
      <c r="FG361" s="5"/>
      <c r="FH361" s="5"/>
      <c r="FI361" s="5"/>
      <c r="FJ361" s="5"/>
      <c r="FK361" s="5"/>
      <c r="FL361" s="5"/>
      <c r="FM361" s="5"/>
      <c r="FN361" s="5"/>
      <c r="FO361" s="5"/>
      <c r="FP361" s="5"/>
      <c r="FQ361" s="5"/>
      <c r="FR361" s="5"/>
      <c r="FS361" s="5"/>
      <c r="FT361" s="5"/>
      <c r="FU361" s="5"/>
      <c r="FV361" s="5"/>
      <c r="FW361" s="5"/>
      <c r="FX361" s="5"/>
      <c r="FY361" s="5"/>
      <c r="FZ361" s="5"/>
      <c r="GA361" s="5"/>
      <c r="GB361" s="5"/>
      <c r="GC361" s="5"/>
      <c r="GD361" s="5"/>
      <c r="GE361" s="5"/>
      <c r="GF361" s="5"/>
      <c r="GG361" s="5"/>
      <c r="GH361" s="5"/>
      <c r="GI361" s="5"/>
      <c r="GJ361" s="5"/>
      <c r="GK361" s="5"/>
      <c r="GL361" s="5"/>
      <c r="GM361" s="5"/>
      <c r="GN361" s="5"/>
      <c r="GO361" s="5"/>
      <c r="GP361" s="5"/>
      <c r="GQ361" s="5"/>
      <c r="GR361" s="5"/>
      <c r="GS361" s="5"/>
      <c r="GT361" s="5"/>
      <c r="GU361" s="5"/>
      <c r="GV361" s="5"/>
      <c r="GW361" s="5"/>
      <c r="GX361" s="5"/>
      <c r="GY361" s="5"/>
      <c r="GZ361" s="5"/>
      <c r="HA361" s="5"/>
      <c r="HB361" s="5"/>
      <c r="HC361" s="5"/>
      <c r="HD361" s="5"/>
      <c r="HE361" s="5"/>
      <c r="HF361" s="5"/>
      <c r="HG361" s="5"/>
      <c r="HH361" s="5"/>
      <c r="HI361" s="5"/>
      <c r="HJ361" s="5"/>
      <c r="HK361" s="5"/>
      <c r="HL361" s="5"/>
      <c r="HM361" s="5"/>
      <c r="HN361" s="5"/>
      <c r="HO361" s="5"/>
      <c r="HP361" s="5"/>
      <c r="HQ361" s="5"/>
      <c r="HR361" s="5"/>
      <c r="HS361" s="5"/>
      <c r="HT361" s="5"/>
      <c r="HU361" s="5"/>
      <c r="HV361" s="5"/>
      <c r="HW361" s="5"/>
      <c r="HX361" s="5"/>
      <c r="HY361" s="5"/>
      <c r="HZ361" s="5"/>
      <c r="IA361" s="5"/>
      <c r="IB361" s="5"/>
      <c r="IC361" s="5"/>
      <c r="ID361" s="5"/>
      <c r="IE361" s="5"/>
    </row>
    <row r="362" spans="1:239" x14ac:dyDescent="0.45">
      <c r="G362" s="534"/>
      <c r="H362" s="535"/>
      <c r="I362" s="534"/>
      <c r="J362" s="534"/>
      <c r="K362" s="534"/>
      <c r="O362" s="4"/>
      <c r="P362" s="5"/>
      <c r="Q362" s="5"/>
      <c r="R362" s="5"/>
      <c r="S362" s="5"/>
      <c r="T362" s="5"/>
      <c r="U362" s="5"/>
      <c r="V362" s="5"/>
      <c r="W362" s="5"/>
      <c r="X362" s="5"/>
      <c r="Y362" s="5"/>
      <c r="Z362" s="5"/>
      <c r="AA362" s="5"/>
      <c r="AB362" s="5"/>
      <c r="AC362" s="5"/>
      <c r="AD362" s="5"/>
      <c r="AE362" s="5"/>
      <c r="AF362" s="5"/>
      <c r="AG362" s="5"/>
      <c r="AH362" s="5"/>
      <c r="AI362" s="5"/>
      <c r="AJ362" s="5"/>
      <c r="AK362" s="5"/>
      <c r="AL362" s="5"/>
      <c r="AM362" s="5"/>
      <c r="AN362" s="5"/>
      <c r="AO362" s="5"/>
      <c r="AP362" s="5"/>
      <c r="AQ362" s="5"/>
      <c r="AR362" s="5"/>
      <c r="AS362" s="5"/>
      <c r="AT362" s="5"/>
      <c r="AU362" s="5"/>
      <c r="AV362" s="5"/>
      <c r="AW362" s="5"/>
      <c r="AX362" s="5"/>
      <c r="AY362" s="5"/>
      <c r="AZ362" s="5"/>
      <c r="BA362" s="5"/>
      <c r="BB362" s="5"/>
      <c r="BC362" s="5"/>
      <c r="BD362" s="5"/>
      <c r="BE362" s="5"/>
      <c r="BF362" s="5"/>
      <c r="BG362" s="5"/>
      <c r="BH362" s="5"/>
      <c r="BI362" s="5"/>
      <c r="BJ362" s="5"/>
      <c r="BK362" s="5"/>
      <c r="BL362" s="5"/>
      <c r="BM362" s="5"/>
      <c r="BN362" s="5"/>
      <c r="BO362" s="5"/>
      <c r="BP362" s="5"/>
      <c r="BQ362" s="5"/>
      <c r="BR362" s="5"/>
      <c r="BS362" s="5"/>
      <c r="BT362" s="5"/>
      <c r="BU362" s="5"/>
      <c r="BV362" s="5"/>
      <c r="BW362" s="5"/>
      <c r="BX362" s="5"/>
      <c r="BY362" s="5"/>
      <c r="BZ362" s="5"/>
      <c r="CA362" s="5"/>
      <c r="CB362" s="5"/>
      <c r="CC362" s="5"/>
      <c r="CD362" s="5"/>
      <c r="CE362" s="5"/>
      <c r="CF362" s="5"/>
      <c r="CG362" s="5"/>
      <c r="CH362" s="5"/>
      <c r="CI362" s="5"/>
      <c r="CJ362" s="5"/>
      <c r="CK362" s="5"/>
      <c r="CL362" s="5"/>
      <c r="CM362" s="5"/>
      <c r="CN362" s="5"/>
      <c r="CO362" s="5"/>
      <c r="CP362" s="5"/>
      <c r="CQ362" s="5"/>
      <c r="CR362" s="5"/>
      <c r="CS362" s="5"/>
      <c r="CT362" s="5"/>
      <c r="CU362" s="5"/>
      <c r="CV362" s="5"/>
      <c r="CW362" s="5"/>
      <c r="CX362" s="5"/>
      <c r="CY362" s="5"/>
      <c r="CZ362" s="5"/>
      <c r="DA362" s="5"/>
      <c r="DB362" s="5"/>
      <c r="DC362" s="5"/>
      <c r="DD362" s="5"/>
      <c r="DE362" s="5"/>
      <c r="DF362" s="5"/>
      <c r="DG362" s="5"/>
      <c r="DH362" s="5"/>
      <c r="DI362" s="5"/>
      <c r="DJ362" s="5"/>
      <c r="DK362" s="5"/>
      <c r="DL362" s="5"/>
      <c r="DM362" s="5"/>
      <c r="DN362" s="5"/>
      <c r="DO362" s="5"/>
      <c r="DP362" s="5"/>
      <c r="DQ362" s="5"/>
      <c r="DR362" s="5"/>
      <c r="DS362" s="5"/>
      <c r="DT362" s="5"/>
      <c r="DU362" s="5"/>
      <c r="DV362" s="5"/>
      <c r="DW362" s="5"/>
      <c r="DX362" s="5"/>
      <c r="DY362" s="5"/>
      <c r="DZ362" s="5"/>
      <c r="EA362" s="5"/>
      <c r="EB362" s="5"/>
      <c r="EC362" s="5"/>
      <c r="ED362" s="5"/>
      <c r="EE362" s="5"/>
      <c r="EF362" s="5"/>
      <c r="EG362" s="5"/>
      <c r="EH362" s="5"/>
      <c r="EI362" s="5"/>
      <c r="EJ362" s="5"/>
      <c r="EK362" s="5"/>
      <c r="EL362" s="5"/>
      <c r="EM362" s="5"/>
      <c r="EN362" s="5"/>
      <c r="EO362" s="5"/>
      <c r="EP362" s="5"/>
      <c r="EQ362" s="5"/>
      <c r="ER362" s="5"/>
      <c r="ES362" s="5"/>
      <c r="ET362" s="5"/>
      <c r="EU362" s="5"/>
      <c r="EV362" s="5"/>
      <c r="EW362" s="5"/>
      <c r="EX362" s="5"/>
      <c r="EY362" s="5"/>
      <c r="EZ362" s="5"/>
      <c r="FA362" s="5"/>
      <c r="FB362" s="5"/>
      <c r="FC362" s="5"/>
      <c r="FD362" s="5"/>
      <c r="FE362" s="5"/>
      <c r="FF362" s="5"/>
      <c r="FG362" s="5"/>
      <c r="FH362" s="5"/>
      <c r="FI362" s="5"/>
      <c r="FJ362" s="5"/>
      <c r="FK362" s="5"/>
      <c r="FL362" s="5"/>
      <c r="FM362" s="5"/>
      <c r="FN362" s="5"/>
      <c r="FO362" s="5"/>
      <c r="FP362" s="5"/>
      <c r="FQ362" s="5"/>
      <c r="FR362" s="5"/>
      <c r="FS362" s="5"/>
      <c r="FT362" s="5"/>
      <c r="FU362" s="5"/>
      <c r="FV362" s="5"/>
      <c r="FW362" s="5"/>
      <c r="FX362" s="5"/>
      <c r="FY362" s="5"/>
      <c r="FZ362" s="5"/>
      <c r="GA362" s="5"/>
      <c r="GB362" s="5"/>
      <c r="GC362" s="5"/>
      <c r="GD362" s="5"/>
      <c r="GE362" s="5"/>
      <c r="GF362" s="5"/>
      <c r="GG362" s="5"/>
      <c r="GH362" s="5"/>
      <c r="GI362" s="5"/>
      <c r="GJ362" s="5"/>
      <c r="GK362" s="5"/>
      <c r="GL362" s="5"/>
      <c r="GM362" s="5"/>
      <c r="GN362" s="5"/>
      <c r="GO362" s="5"/>
      <c r="GP362" s="5"/>
      <c r="GQ362" s="5"/>
      <c r="GR362" s="5"/>
      <c r="GS362" s="5"/>
      <c r="GT362" s="5"/>
      <c r="GU362" s="5"/>
      <c r="GV362" s="5"/>
      <c r="GW362" s="5"/>
      <c r="GX362" s="5"/>
      <c r="GY362" s="5"/>
      <c r="GZ362" s="5"/>
      <c r="HA362" s="5"/>
      <c r="HB362" s="5"/>
      <c r="HC362" s="5"/>
      <c r="HD362" s="5"/>
      <c r="HE362" s="5"/>
      <c r="HF362" s="5"/>
      <c r="HG362" s="5"/>
      <c r="HH362" s="5"/>
      <c r="HI362" s="5"/>
      <c r="HJ362" s="5"/>
      <c r="HK362" s="5"/>
      <c r="HL362" s="5"/>
      <c r="HM362" s="5"/>
      <c r="HN362" s="5"/>
      <c r="HO362" s="5"/>
      <c r="HP362" s="5"/>
      <c r="HQ362" s="5"/>
      <c r="HR362" s="5"/>
      <c r="HS362" s="5"/>
      <c r="HT362" s="5"/>
      <c r="HU362" s="5"/>
      <c r="HV362" s="5"/>
      <c r="HW362" s="5"/>
      <c r="HX362" s="5"/>
      <c r="HY362" s="5"/>
      <c r="HZ362" s="5"/>
      <c r="IA362" s="5"/>
      <c r="IB362" s="5"/>
      <c r="IC362" s="5"/>
      <c r="ID362" s="5"/>
      <c r="IE362" s="5"/>
    </row>
    <row r="363" spans="1:239" x14ac:dyDescent="0.45">
      <c r="E363" s="551"/>
      <c r="F363" s="551"/>
      <c r="G363" s="534"/>
      <c r="H363" s="530"/>
      <c r="I363" s="530"/>
      <c r="J363" s="530"/>
      <c r="K363" s="530"/>
      <c r="L363" s="536"/>
      <c r="M363" s="536"/>
      <c r="N363" s="537"/>
      <c r="O363" s="4"/>
      <c r="P363" s="5"/>
      <c r="Q363" s="5"/>
      <c r="R363" s="5"/>
      <c r="S363" s="5"/>
      <c r="T363" s="5"/>
      <c r="U363" s="5"/>
      <c r="V363" s="5"/>
      <c r="W363" s="5"/>
      <c r="X363" s="5"/>
      <c r="Y363" s="5"/>
      <c r="Z363" s="5"/>
      <c r="AA363" s="5"/>
      <c r="AB363" s="5"/>
      <c r="AC363" s="5"/>
      <c r="AD363" s="5"/>
      <c r="AE363" s="5"/>
      <c r="AF363" s="5"/>
      <c r="AG363" s="5"/>
      <c r="AH363" s="5"/>
      <c r="AI363" s="5"/>
      <c r="AJ363" s="5"/>
      <c r="AK363" s="5"/>
      <c r="AL363" s="5"/>
      <c r="AM363" s="5"/>
      <c r="AN363" s="5"/>
      <c r="AO363" s="5"/>
      <c r="AP363" s="5"/>
      <c r="AQ363" s="5"/>
      <c r="AR363" s="5"/>
      <c r="AS363" s="5"/>
      <c r="AT363" s="5"/>
      <c r="AU363" s="5"/>
      <c r="AV363" s="5"/>
      <c r="AW363" s="5"/>
      <c r="AX363" s="5"/>
      <c r="AY363" s="5"/>
      <c r="AZ363" s="5"/>
      <c r="BA363" s="5"/>
      <c r="BB363" s="5"/>
      <c r="BC363" s="5"/>
      <c r="BD363" s="5"/>
      <c r="BE363" s="5"/>
      <c r="BF363" s="5"/>
      <c r="BG363" s="5"/>
      <c r="BH363" s="5"/>
      <c r="BI363" s="5"/>
      <c r="BJ363" s="5"/>
      <c r="BK363" s="5"/>
      <c r="BL363" s="5"/>
      <c r="BM363" s="5"/>
      <c r="BN363" s="5"/>
      <c r="BO363" s="5"/>
      <c r="BP363" s="5"/>
      <c r="BQ363" s="5"/>
      <c r="BR363" s="5"/>
      <c r="BS363" s="5"/>
      <c r="BT363" s="5"/>
      <c r="BU363" s="5"/>
      <c r="BV363" s="5"/>
      <c r="BW363" s="5"/>
      <c r="BX363" s="5"/>
      <c r="BY363" s="5"/>
      <c r="BZ363" s="5"/>
      <c r="CA363" s="5"/>
      <c r="CB363" s="5"/>
      <c r="CC363" s="5"/>
      <c r="CD363" s="5"/>
      <c r="CE363" s="5"/>
      <c r="CF363" s="5"/>
      <c r="CG363" s="5"/>
      <c r="CH363" s="5"/>
      <c r="CI363" s="5"/>
      <c r="CJ363" s="5"/>
      <c r="CK363" s="5"/>
      <c r="CL363" s="5"/>
      <c r="CM363" s="5"/>
      <c r="CN363" s="5"/>
      <c r="CO363" s="5"/>
      <c r="CP363" s="5"/>
      <c r="CQ363" s="5"/>
      <c r="CR363" s="5"/>
      <c r="CS363" s="5"/>
      <c r="CT363" s="5"/>
      <c r="CU363" s="5"/>
      <c r="CV363" s="5"/>
      <c r="CW363" s="5"/>
      <c r="CX363" s="5"/>
      <c r="CY363" s="5"/>
      <c r="CZ363" s="5"/>
      <c r="DA363" s="5"/>
      <c r="DB363" s="5"/>
      <c r="DC363" s="5"/>
      <c r="DD363" s="5"/>
      <c r="DE363" s="5"/>
      <c r="DF363" s="5"/>
      <c r="DG363" s="5"/>
      <c r="DH363" s="5"/>
      <c r="DI363" s="5"/>
      <c r="DJ363" s="5"/>
      <c r="DK363" s="5"/>
      <c r="DL363" s="5"/>
      <c r="DM363" s="5"/>
      <c r="DN363" s="5"/>
      <c r="DO363" s="5"/>
      <c r="DP363" s="5"/>
      <c r="DQ363" s="5"/>
      <c r="DR363" s="5"/>
      <c r="DS363" s="5"/>
      <c r="DT363" s="5"/>
      <c r="DU363" s="5"/>
      <c r="DV363" s="5"/>
      <c r="DW363" s="5"/>
      <c r="DX363" s="5"/>
      <c r="DY363" s="5"/>
      <c r="DZ363" s="5"/>
      <c r="EA363" s="5"/>
      <c r="EB363" s="5"/>
      <c r="EC363" s="5"/>
      <c r="ED363" s="5"/>
      <c r="EE363" s="5"/>
      <c r="EF363" s="5"/>
      <c r="EG363" s="5"/>
      <c r="EH363" s="5"/>
      <c r="EI363" s="5"/>
      <c r="EJ363" s="5"/>
      <c r="EK363" s="5"/>
      <c r="EL363" s="5"/>
      <c r="EM363" s="5"/>
      <c r="EN363" s="5"/>
      <c r="EO363" s="5"/>
      <c r="EP363" s="5"/>
      <c r="EQ363" s="5"/>
      <c r="ER363" s="5"/>
      <c r="ES363" s="5"/>
      <c r="ET363" s="5"/>
      <c r="EU363" s="5"/>
      <c r="EV363" s="5"/>
      <c r="EW363" s="5"/>
      <c r="EX363" s="5"/>
      <c r="EY363" s="5"/>
      <c r="EZ363" s="5"/>
      <c r="FA363" s="5"/>
      <c r="FB363" s="5"/>
      <c r="FC363" s="5"/>
      <c r="FD363" s="5"/>
      <c r="FE363" s="5"/>
      <c r="FF363" s="5"/>
      <c r="FG363" s="5"/>
      <c r="FH363" s="5"/>
      <c r="FI363" s="5"/>
      <c r="FJ363" s="5"/>
      <c r="FK363" s="5"/>
      <c r="FL363" s="5"/>
      <c r="FM363" s="5"/>
      <c r="FN363" s="5"/>
      <c r="FO363" s="5"/>
      <c r="FP363" s="5"/>
      <c r="FQ363" s="5"/>
      <c r="FR363" s="5"/>
      <c r="FS363" s="5"/>
      <c r="FT363" s="5"/>
      <c r="FU363" s="5"/>
      <c r="FV363" s="5"/>
      <c r="FW363" s="5"/>
      <c r="FX363" s="5"/>
      <c r="FY363" s="5"/>
      <c r="FZ363" s="5"/>
      <c r="GA363" s="5"/>
      <c r="GB363" s="5"/>
      <c r="GC363" s="5"/>
      <c r="GD363" s="5"/>
      <c r="GE363" s="5"/>
      <c r="GF363" s="5"/>
      <c r="GG363" s="5"/>
      <c r="GH363" s="5"/>
      <c r="GI363" s="5"/>
      <c r="GJ363" s="5"/>
      <c r="GK363" s="5"/>
      <c r="GL363" s="5"/>
      <c r="GM363" s="5"/>
      <c r="GN363" s="5"/>
      <c r="GO363" s="5"/>
      <c r="GP363" s="5"/>
      <c r="GQ363" s="5"/>
      <c r="GR363" s="5"/>
      <c r="GS363" s="5"/>
      <c r="GT363" s="5"/>
      <c r="GU363" s="5"/>
      <c r="GV363" s="5"/>
      <c r="GW363" s="5"/>
      <c r="GX363" s="5"/>
      <c r="GY363" s="5"/>
      <c r="GZ363" s="5"/>
      <c r="HA363" s="5"/>
      <c r="HB363" s="5"/>
      <c r="HC363" s="5"/>
      <c r="HD363" s="5"/>
      <c r="HE363" s="5"/>
      <c r="HF363" s="5"/>
      <c r="HG363" s="5"/>
      <c r="HH363" s="5"/>
      <c r="HI363" s="5"/>
      <c r="HJ363" s="5"/>
      <c r="HK363" s="5"/>
      <c r="HL363" s="5"/>
      <c r="HM363" s="5"/>
      <c r="HN363" s="5"/>
      <c r="HO363" s="5"/>
      <c r="HP363" s="5"/>
      <c r="HQ363" s="5"/>
      <c r="HR363" s="5"/>
      <c r="HS363" s="5"/>
      <c r="HT363" s="5"/>
      <c r="HU363" s="5"/>
      <c r="HV363" s="5"/>
      <c r="HW363" s="5"/>
      <c r="HX363" s="5"/>
      <c r="HY363" s="5"/>
      <c r="HZ363" s="5"/>
      <c r="IA363" s="5"/>
      <c r="IB363" s="5"/>
      <c r="IC363" s="5"/>
      <c r="ID363" s="5"/>
      <c r="IE363" s="5"/>
    </row>
    <row r="364" spans="1:239" x14ac:dyDescent="0.45">
      <c r="G364" s="530"/>
      <c r="H364" s="535"/>
      <c r="L364" s="538"/>
      <c r="M364" s="538"/>
      <c r="N364" s="539"/>
      <c r="O364" s="4"/>
      <c r="P364" s="5"/>
      <c r="Q364" s="5"/>
      <c r="R364" s="5"/>
      <c r="S364" s="5"/>
      <c r="T364" s="5"/>
      <c r="U364" s="5"/>
      <c r="V364" s="5"/>
      <c r="W364" s="5"/>
      <c r="X364" s="5"/>
      <c r="Y364" s="5"/>
      <c r="Z364" s="5"/>
      <c r="AA364" s="5"/>
      <c r="AB364" s="5"/>
      <c r="AC364" s="5"/>
      <c r="AD364" s="5"/>
      <c r="AE364" s="5"/>
      <c r="AF364" s="5"/>
      <c r="AG364" s="5"/>
      <c r="AH364" s="5"/>
      <c r="AI364" s="5"/>
      <c r="AJ364" s="5"/>
      <c r="AK364" s="5"/>
      <c r="AL364" s="5"/>
      <c r="AM364" s="5"/>
      <c r="AN364" s="5"/>
      <c r="AO364" s="5"/>
      <c r="AP364" s="5"/>
      <c r="AQ364" s="5"/>
      <c r="AR364" s="5"/>
      <c r="AS364" s="5"/>
      <c r="AT364" s="5"/>
      <c r="AU364" s="5"/>
      <c r="AV364" s="5"/>
      <c r="AW364" s="5"/>
      <c r="AX364" s="5"/>
      <c r="AY364" s="5"/>
      <c r="AZ364" s="5"/>
      <c r="BA364" s="5"/>
      <c r="BB364" s="5"/>
      <c r="BC364" s="5"/>
      <c r="BD364" s="5"/>
      <c r="BE364" s="5"/>
      <c r="BF364" s="5"/>
      <c r="BG364" s="5"/>
      <c r="BH364" s="5"/>
      <c r="BI364" s="5"/>
      <c r="BJ364" s="5"/>
      <c r="BK364" s="5"/>
      <c r="BL364" s="5"/>
      <c r="BM364" s="5"/>
      <c r="BN364" s="5"/>
      <c r="BO364" s="5"/>
      <c r="BP364" s="5"/>
      <c r="BQ364" s="5"/>
      <c r="BR364" s="5"/>
      <c r="BS364" s="5"/>
      <c r="BT364" s="5"/>
      <c r="BU364" s="5"/>
      <c r="BV364" s="5"/>
      <c r="BW364" s="5"/>
      <c r="BX364" s="5"/>
      <c r="BY364" s="5"/>
      <c r="BZ364" s="5"/>
      <c r="CA364" s="5"/>
      <c r="CB364" s="5"/>
      <c r="CC364" s="5"/>
      <c r="CD364" s="5"/>
      <c r="CE364" s="5"/>
      <c r="CF364" s="5"/>
      <c r="CG364" s="5"/>
      <c r="CH364" s="5"/>
      <c r="CI364" s="5"/>
      <c r="CJ364" s="5"/>
      <c r="CK364" s="5"/>
      <c r="CL364" s="5"/>
      <c r="CM364" s="5"/>
      <c r="CN364" s="5"/>
      <c r="CO364" s="5"/>
      <c r="CP364" s="5"/>
      <c r="CQ364" s="5"/>
      <c r="CR364" s="5"/>
      <c r="CS364" s="5"/>
      <c r="CT364" s="5"/>
      <c r="CU364" s="5"/>
      <c r="CV364" s="5"/>
      <c r="CW364" s="5"/>
      <c r="CX364" s="5"/>
      <c r="CY364" s="5"/>
      <c r="CZ364" s="5"/>
      <c r="DA364" s="5"/>
      <c r="DB364" s="5"/>
      <c r="DC364" s="5"/>
      <c r="DD364" s="5"/>
      <c r="DE364" s="5"/>
      <c r="DF364" s="5"/>
      <c r="DG364" s="5"/>
      <c r="DH364" s="5"/>
      <c r="DI364" s="5"/>
      <c r="DJ364" s="5"/>
      <c r="DK364" s="5"/>
      <c r="DL364" s="5"/>
      <c r="DM364" s="5"/>
      <c r="DN364" s="5"/>
      <c r="DO364" s="5"/>
      <c r="DP364" s="5"/>
      <c r="DQ364" s="5"/>
      <c r="DR364" s="5"/>
      <c r="DS364" s="5"/>
      <c r="DT364" s="5"/>
      <c r="DU364" s="5"/>
      <c r="DV364" s="5"/>
      <c r="DW364" s="5"/>
      <c r="DX364" s="5"/>
      <c r="DY364" s="5"/>
      <c r="DZ364" s="5"/>
      <c r="EA364" s="5"/>
      <c r="EB364" s="5"/>
      <c r="EC364" s="5"/>
      <c r="ED364" s="5"/>
      <c r="EE364" s="5"/>
      <c r="EF364" s="5"/>
      <c r="EG364" s="5"/>
      <c r="EH364" s="5"/>
      <c r="EI364" s="5"/>
      <c r="EJ364" s="5"/>
      <c r="EK364" s="5"/>
      <c r="EL364" s="5"/>
      <c r="EM364" s="5"/>
      <c r="EN364" s="5"/>
      <c r="EO364" s="5"/>
      <c r="EP364" s="5"/>
      <c r="EQ364" s="5"/>
      <c r="ER364" s="5"/>
      <c r="ES364" s="5"/>
      <c r="ET364" s="5"/>
      <c r="EU364" s="5"/>
      <c r="EV364" s="5"/>
      <c r="EW364" s="5"/>
      <c r="EX364" s="5"/>
      <c r="EY364" s="5"/>
      <c r="EZ364" s="5"/>
      <c r="FA364" s="5"/>
      <c r="FB364" s="5"/>
      <c r="FC364" s="5"/>
      <c r="FD364" s="5"/>
      <c r="FE364" s="5"/>
      <c r="FF364" s="5"/>
      <c r="FG364" s="5"/>
      <c r="FH364" s="5"/>
      <c r="FI364" s="5"/>
      <c r="FJ364" s="5"/>
      <c r="FK364" s="5"/>
      <c r="FL364" s="5"/>
      <c r="FM364" s="5"/>
      <c r="FN364" s="5"/>
      <c r="FO364" s="5"/>
      <c r="FP364" s="5"/>
      <c r="FQ364" s="5"/>
      <c r="FR364" s="5"/>
      <c r="FS364" s="5"/>
      <c r="FT364" s="5"/>
      <c r="FU364" s="5"/>
      <c r="FV364" s="5"/>
      <c r="FW364" s="5"/>
      <c r="FX364" s="5"/>
      <c r="FY364" s="5"/>
      <c r="FZ364" s="5"/>
      <c r="GA364" s="5"/>
      <c r="GB364" s="5"/>
      <c r="GC364" s="5"/>
      <c r="GD364" s="5"/>
      <c r="GE364" s="5"/>
      <c r="GF364" s="5"/>
      <c r="GG364" s="5"/>
      <c r="GH364" s="5"/>
      <c r="GI364" s="5"/>
      <c r="GJ364" s="5"/>
      <c r="GK364" s="5"/>
      <c r="GL364" s="5"/>
      <c r="GM364" s="5"/>
      <c r="GN364" s="5"/>
      <c r="GO364" s="5"/>
      <c r="GP364" s="5"/>
      <c r="GQ364" s="5"/>
      <c r="GR364" s="5"/>
      <c r="GS364" s="5"/>
      <c r="GT364" s="5"/>
      <c r="GU364" s="5"/>
      <c r="GV364" s="5"/>
      <c r="GW364" s="5"/>
      <c r="GX364" s="5"/>
      <c r="GY364" s="5"/>
      <c r="GZ364" s="5"/>
      <c r="HA364" s="5"/>
      <c r="HB364" s="5"/>
      <c r="HC364" s="5"/>
      <c r="HD364" s="5"/>
      <c r="HE364" s="5"/>
      <c r="HF364" s="5"/>
      <c r="HG364" s="5"/>
      <c r="HH364" s="5"/>
      <c r="HI364" s="5"/>
      <c r="HJ364" s="5"/>
      <c r="HK364" s="5"/>
      <c r="HL364" s="5"/>
      <c r="HM364" s="5"/>
      <c r="HN364" s="5"/>
      <c r="HO364" s="5"/>
      <c r="HP364" s="5"/>
      <c r="HQ364" s="5"/>
      <c r="HR364" s="5"/>
      <c r="HS364" s="5"/>
      <c r="HT364" s="5"/>
      <c r="HU364" s="5"/>
      <c r="HV364" s="5"/>
      <c r="HW364" s="5"/>
      <c r="HX364" s="5"/>
      <c r="HY364" s="5"/>
      <c r="HZ364" s="5"/>
      <c r="IA364" s="5"/>
      <c r="IB364" s="5"/>
      <c r="IC364" s="5"/>
      <c r="ID364" s="5"/>
      <c r="IE364" s="5"/>
    </row>
    <row r="365" spans="1:239" x14ac:dyDescent="0.45">
      <c r="G365" s="534"/>
      <c r="H365" s="534"/>
      <c r="I365" s="534"/>
      <c r="J365" s="534"/>
      <c r="L365" s="538"/>
      <c r="M365" s="538"/>
      <c r="N365" s="539"/>
      <c r="O365" s="4"/>
      <c r="P365" s="5"/>
      <c r="Q365" s="5"/>
      <c r="R365" s="5"/>
      <c r="S365" s="5"/>
      <c r="T365" s="5"/>
      <c r="U365" s="5"/>
      <c r="V365" s="5"/>
      <c r="W365" s="5"/>
      <c r="X365" s="5"/>
      <c r="Y365" s="5"/>
      <c r="Z365" s="5"/>
      <c r="AA365" s="5"/>
      <c r="AB365" s="5"/>
      <c r="AC365" s="5"/>
      <c r="AD365" s="5"/>
      <c r="AE365" s="5"/>
      <c r="AF365" s="5"/>
      <c r="AG365" s="5"/>
      <c r="AH365" s="5"/>
      <c r="AI365" s="5"/>
      <c r="AJ365" s="5"/>
      <c r="AK365" s="5"/>
      <c r="AL365" s="5"/>
      <c r="AM365" s="5"/>
      <c r="AN365" s="5"/>
      <c r="AO365" s="5"/>
      <c r="AP365" s="5"/>
      <c r="AQ365" s="5"/>
      <c r="AR365" s="5"/>
      <c r="AS365" s="5"/>
      <c r="AT365" s="5"/>
      <c r="AU365" s="5"/>
      <c r="AV365" s="5"/>
      <c r="AW365" s="5"/>
      <c r="AX365" s="5"/>
      <c r="AY365" s="5"/>
      <c r="AZ365" s="5"/>
      <c r="BA365" s="5"/>
      <c r="BB365" s="5"/>
      <c r="BC365" s="5"/>
      <c r="BD365" s="5"/>
      <c r="BE365" s="5"/>
      <c r="BF365" s="5"/>
      <c r="BG365" s="5"/>
      <c r="BH365" s="5"/>
      <c r="BI365" s="5"/>
      <c r="BJ365" s="5"/>
      <c r="BK365" s="5"/>
      <c r="BL365" s="5"/>
      <c r="BM365" s="5"/>
      <c r="BN365" s="5"/>
      <c r="BO365" s="5"/>
      <c r="BP365" s="5"/>
      <c r="BQ365" s="5"/>
      <c r="BR365" s="5"/>
      <c r="BS365" s="5"/>
      <c r="BT365" s="5"/>
      <c r="BU365" s="5"/>
      <c r="BV365" s="5"/>
      <c r="BW365" s="5"/>
      <c r="BX365" s="5"/>
      <c r="BY365" s="5"/>
      <c r="BZ365" s="5"/>
      <c r="CA365" s="5"/>
      <c r="CB365" s="5"/>
      <c r="CC365" s="5"/>
      <c r="CD365" s="5"/>
      <c r="CE365" s="5"/>
      <c r="CF365" s="5"/>
      <c r="CG365" s="5"/>
      <c r="CH365" s="5"/>
      <c r="CI365" s="5"/>
      <c r="CJ365" s="5"/>
      <c r="CK365" s="5"/>
      <c r="CL365" s="5"/>
      <c r="CM365" s="5"/>
      <c r="CN365" s="5"/>
      <c r="CO365" s="5"/>
      <c r="CP365" s="5"/>
      <c r="CQ365" s="5"/>
      <c r="CR365" s="5"/>
      <c r="CS365" s="5"/>
      <c r="CT365" s="5"/>
      <c r="CU365" s="5"/>
      <c r="CV365" s="5"/>
      <c r="CW365" s="5"/>
      <c r="CX365" s="5"/>
      <c r="CY365" s="5"/>
      <c r="CZ365" s="5"/>
      <c r="DA365" s="5"/>
      <c r="DB365" s="5"/>
      <c r="DC365" s="5"/>
      <c r="DD365" s="5"/>
      <c r="DE365" s="5"/>
      <c r="DF365" s="5"/>
      <c r="DG365" s="5"/>
      <c r="DH365" s="5"/>
      <c r="DI365" s="5"/>
      <c r="DJ365" s="5"/>
      <c r="DK365" s="5"/>
      <c r="DL365" s="5"/>
      <c r="DM365" s="5"/>
      <c r="DN365" s="5"/>
      <c r="DO365" s="5"/>
      <c r="DP365" s="5"/>
      <c r="DQ365" s="5"/>
      <c r="DR365" s="5"/>
      <c r="DS365" s="5"/>
      <c r="DT365" s="5"/>
      <c r="DU365" s="5"/>
      <c r="DV365" s="5"/>
      <c r="DW365" s="5"/>
      <c r="DX365" s="5"/>
      <c r="DY365" s="5"/>
      <c r="DZ365" s="5"/>
      <c r="EA365" s="5"/>
      <c r="EB365" s="5"/>
      <c r="EC365" s="5"/>
      <c r="ED365" s="5"/>
      <c r="EE365" s="5"/>
      <c r="EF365" s="5"/>
      <c r="EG365" s="5"/>
      <c r="EH365" s="5"/>
      <c r="EI365" s="5"/>
      <c r="EJ365" s="5"/>
      <c r="EK365" s="5"/>
      <c r="EL365" s="5"/>
      <c r="EM365" s="5"/>
      <c r="EN365" s="5"/>
      <c r="EO365" s="5"/>
      <c r="EP365" s="5"/>
      <c r="EQ365" s="5"/>
      <c r="ER365" s="5"/>
      <c r="ES365" s="5"/>
      <c r="ET365" s="5"/>
      <c r="EU365" s="5"/>
      <c r="EV365" s="5"/>
      <c r="EW365" s="5"/>
      <c r="EX365" s="5"/>
      <c r="EY365" s="5"/>
      <c r="EZ365" s="5"/>
      <c r="FA365" s="5"/>
      <c r="FB365" s="5"/>
      <c r="FC365" s="5"/>
      <c r="FD365" s="5"/>
      <c r="FE365" s="5"/>
      <c r="FF365" s="5"/>
      <c r="FG365" s="5"/>
      <c r="FH365" s="5"/>
      <c r="FI365" s="5"/>
      <c r="FJ365" s="5"/>
      <c r="FK365" s="5"/>
      <c r="FL365" s="5"/>
      <c r="FM365" s="5"/>
      <c r="FN365" s="5"/>
      <c r="FO365" s="5"/>
      <c r="FP365" s="5"/>
      <c r="FQ365" s="5"/>
      <c r="FR365" s="5"/>
      <c r="FS365" s="5"/>
      <c r="FT365" s="5"/>
      <c r="FU365" s="5"/>
      <c r="FV365" s="5"/>
      <c r="FW365" s="5"/>
      <c r="FX365" s="5"/>
      <c r="FY365" s="5"/>
      <c r="FZ365" s="5"/>
      <c r="GA365" s="5"/>
      <c r="GB365" s="5"/>
      <c r="GC365" s="5"/>
      <c r="GD365" s="5"/>
      <c r="GE365" s="5"/>
      <c r="GF365" s="5"/>
      <c r="GG365" s="5"/>
      <c r="GH365" s="5"/>
      <c r="GI365" s="5"/>
      <c r="GJ365" s="5"/>
      <c r="GK365" s="5"/>
      <c r="GL365" s="5"/>
      <c r="GM365" s="5"/>
      <c r="GN365" s="5"/>
      <c r="GO365" s="5"/>
      <c r="GP365" s="5"/>
      <c r="GQ365" s="5"/>
      <c r="GR365" s="5"/>
      <c r="GS365" s="5"/>
      <c r="GT365" s="5"/>
      <c r="GU365" s="5"/>
      <c r="GV365" s="5"/>
      <c r="GW365" s="5"/>
      <c r="GX365" s="5"/>
      <c r="GY365" s="5"/>
      <c r="GZ365" s="5"/>
      <c r="HA365" s="5"/>
      <c r="HB365" s="5"/>
      <c r="HC365" s="5"/>
      <c r="HD365" s="5"/>
      <c r="HE365" s="5"/>
      <c r="HF365" s="5"/>
      <c r="HG365" s="5"/>
      <c r="HH365" s="5"/>
      <c r="HI365" s="5"/>
      <c r="HJ365" s="5"/>
      <c r="HK365" s="5"/>
      <c r="HL365" s="5"/>
      <c r="HM365" s="5"/>
      <c r="HN365" s="5"/>
      <c r="HO365" s="5"/>
      <c r="HP365" s="5"/>
      <c r="HQ365" s="5"/>
      <c r="HR365" s="5"/>
      <c r="HS365" s="5"/>
      <c r="HT365" s="5"/>
      <c r="HU365" s="5"/>
      <c r="HV365" s="5"/>
      <c r="HW365" s="5"/>
      <c r="HX365" s="5"/>
      <c r="HY365" s="5"/>
      <c r="HZ365" s="5"/>
      <c r="IA365" s="5"/>
      <c r="IB365" s="5"/>
      <c r="IC365" s="5"/>
      <c r="ID365" s="5"/>
      <c r="IE365" s="5"/>
    </row>
    <row r="366" spans="1:239" x14ac:dyDescent="0.45">
      <c r="G366" s="534"/>
      <c r="H366" s="534"/>
      <c r="I366" s="534"/>
      <c r="J366" s="534"/>
      <c r="K366" s="534"/>
      <c r="L366" s="538"/>
      <c r="M366" s="538"/>
      <c r="N366" s="539"/>
      <c r="O366" s="4"/>
      <c r="P366" s="5"/>
      <c r="Q366" s="5"/>
      <c r="R366" s="5"/>
      <c r="S366" s="5"/>
      <c r="T366" s="5"/>
      <c r="U366" s="5"/>
      <c r="V366" s="5"/>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s="5"/>
      <c r="BI366" s="5"/>
      <c r="BJ366" s="5"/>
      <c r="BK366" s="5"/>
      <c r="BL366" s="5"/>
      <c r="BM366" s="5"/>
      <c r="BN366" s="5"/>
      <c r="BO366" s="5"/>
      <c r="BP366" s="5"/>
      <c r="BQ366" s="5"/>
      <c r="BR366" s="5"/>
      <c r="BS366" s="5"/>
      <c r="BT366" s="5"/>
      <c r="BU366" s="5"/>
      <c r="BV366" s="5"/>
      <c r="BW366" s="5"/>
      <c r="BX366" s="5"/>
      <c r="BY366" s="5"/>
      <c r="BZ366" s="5"/>
      <c r="CA366" s="5"/>
      <c r="CB366" s="5"/>
      <c r="CC366" s="5"/>
      <c r="CD366" s="5"/>
      <c r="CE366" s="5"/>
      <c r="CF366" s="5"/>
      <c r="CG366" s="5"/>
      <c r="CH366" s="5"/>
      <c r="CI366" s="5"/>
      <c r="CJ366" s="5"/>
      <c r="CK366" s="5"/>
      <c r="CL366" s="5"/>
      <c r="CM366" s="5"/>
      <c r="CN366" s="5"/>
      <c r="CO366" s="5"/>
      <c r="CP366" s="5"/>
      <c r="CQ366" s="5"/>
      <c r="CR366" s="5"/>
      <c r="CS366" s="5"/>
      <c r="CT366" s="5"/>
      <c r="CU366" s="5"/>
      <c r="CV366" s="5"/>
      <c r="CW366" s="5"/>
      <c r="CX366" s="5"/>
      <c r="CY366" s="5"/>
      <c r="CZ366" s="5"/>
      <c r="DA366" s="5"/>
      <c r="DB366" s="5"/>
      <c r="DC366" s="5"/>
      <c r="DD366" s="5"/>
      <c r="DE366" s="5"/>
      <c r="DF366" s="5"/>
      <c r="DG366" s="5"/>
      <c r="DH366" s="5"/>
      <c r="DI366" s="5"/>
      <c r="DJ366" s="5"/>
      <c r="DK366" s="5"/>
      <c r="DL366" s="5"/>
      <c r="DM366" s="5"/>
      <c r="DN366" s="5"/>
      <c r="DO366" s="5"/>
      <c r="DP366" s="5"/>
      <c r="DQ366" s="5"/>
      <c r="DR366" s="5"/>
      <c r="DS366" s="5"/>
      <c r="DT366" s="5"/>
      <c r="DU366" s="5"/>
      <c r="DV366" s="5"/>
      <c r="DW366" s="5"/>
      <c r="DX366" s="5"/>
      <c r="DY366" s="5"/>
      <c r="DZ366" s="5"/>
      <c r="EA366" s="5"/>
      <c r="EB366" s="5"/>
      <c r="EC366" s="5"/>
      <c r="ED366" s="5"/>
      <c r="EE366" s="5"/>
      <c r="EF366" s="5"/>
      <c r="EG366" s="5"/>
      <c r="EH366" s="5"/>
      <c r="EI366" s="5"/>
      <c r="EJ366" s="5"/>
      <c r="EK366" s="5"/>
      <c r="EL366" s="5"/>
      <c r="EM366" s="5"/>
      <c r="EN366" s="5"/>
      <c r="EO366" s="5"/>
      <c r="EP366" s="5"/>
      <c r="EQ366" s="5"/>
      <c r="ER366" s="5"/>
      <c r="ES366" s="5"/>
      <c r="ET366" s="5"/>
      <c r="EU366" s="5"/>
      <c r="EV366" s="5"/>
      <c r="EW366" s="5"/>
      <c r="EX366" s="5"/>
      <c r="EY366" s="5"/>
      <c r="EZ366" s="5"/>
      <c r="FA366" s="5"/>
      <c r="FB366" s="5"/>
      <c r="FC366" s="5"/>
      <c r="FD366" s="5"/>
      <c r="FE366" s="5"/>
      <c r="FF366" s="5"/>
      <c r="FG366" s="5"/>
      <c r="FH366" s="5"/>
      <c r="FI366" s="5"/>
      <c r="FJ366" s="5"/>
      <c r="FK366" s="5"/>
      <c r="FL366" s="5"/>
      <c r="FM366" s="5"/>
      <c r="FN366" s="5"/>
      <c r="FO366" s="5"/>
      <c r="FP366" s="5"/>
      <c r="FQ366" s="5"/>
      <c r="FR366" s="5"/>
      <c r="FS366" s="5"/>
      <c r="FT366" s="5"/>
      <c r="FU366" s="5"/>
      <c r="FV366" s="5"/>
      <c r="FW366" s="5"/>
      <c r="FX366" s="5"/>
      <c r="FY366" s="5"/>
      <c r="FZ366" s="5"/>
      <c r="GA366" s="5"/>
      <c r="GB366" s="5"/>
      <c r="GC366" s="5"/>
      <c r="GD366" s="5"/>
      <c r="GE366" s="5"/>
      <c r="GF366" s="5"/>
      <c r="GG366" s="5"/>
      <c r="GH366" s="5"/>
      <c r="GI366" s="5"/>
      <c r="GJ366" s="5"/>
      <c r="GK366" s="5"/>
      <c r="GL366" s="5"/>
      <c r="GM366" s="5"/>
      <c r="GN366" s="5"/>
      <c r="GO366" s="5"/>
      <c r="GP366" s="5"/>
      <c r="GQ366" s="5"/>
      <c r="GR366" s="5"/>
      <c r="GS366" s="5"/>
      <c r="GT366" s="5"/>
      <c r="GU366" s="5"/>
      <c r="GV366" s="5"/>
      <c r="GW366" s="5"/>
      <c r="GX366" s="5"/>
      <c r="GY366" s="5"/>
      <c r="GZ366" s="5"/>
      <c r="HA366" s="5"/>
      <c r="HB366" s="5"/>
      <c r="HC366" s="5"/>
      <c r="HD366" s="5"/>
      <c r="HE366" s="5"/>
      <c r="HF366" s="5"/>
      <c r="HG366" s="5"/>
      <c r="HH366" s="5"/>
      <c r="HI366" s="5"/>
      <c r="HJ366" s="5"/>
      <c r="HK366" s="5"/>
      <c r="HL366" s="5"/>
      <c r="HM366" s="5"/>
      <c r="HN366" s="5"/>
      <c r="HO366" s="5"/>
      <c r="HP366" s="5"/>
      <c r="HQ366" s="5"/>
      <c r="HR366" s="5"/>
      <c r="HS366" s="5"/>
      <c r="HT366" s="5"/>
      <c r="HU366" s="5"/>
      <c r="HV366" s="5"/>
      <c r="HW366" s="5"/>
      <c r="HX366" s="5"/>
      <c r="HY366" s="5"/>
      <c r="HZ366" s="5"/>
      <c r="IA366" s="5"/>
      <c r="IB366" s="5"/>
      <c r="IC366" s="5"/>
      <c r="ID366" s="5"/>
      <c r="IE366" s="5"/>
    </row>
    <row r="367" spans="1:239" x14ac:dyDescent="0.45">
      <c r="O367" s="4"/>
      <c r="P367" s="5"/>
      <c r="Q367" s="5"/>
      <c r="R367" s="5"/>
    </row>
    <row r="368" spans="1:239" x14ac:dyDescent="0.45">
      <c r="O368" s="4"/>
      <c r="P368" s="5"/>
      <c r="Q368" s="5"/>
      <c r="R368" s="5"/>
    </row>
    <row r="369" spans="2:18" x14ac:dyDescent="0.45">
      <c r="O369" s="4"/>
      <c r="P369" s="5"/>
      <c r="Q369" s="5"/>
      <c r="R369" s="5"/>
    </row>
    <row r="370" spans="2:18" x14ac:dyDescent="0.45">
      <c r="B370" s="540"/>
      <c r="C370" s="541"/>
      <c r="D370" s="541"/>
      <c r="E370" s="541"/>
      <c r="F370" s="541"/>
      <c r="G370" s="541"/>
      <c r="O370" s="4"/>
      <c r="P370" s="5"/>
      <c r="Q370" s="5"/>
      <c r="R370" s="5"/>
    </row>
    <row r="371" spans="2:18" x14ac:dyDescent="0.45">
      <c r="B371" s="540"/>
      <c r="C371" s="541"/>
      <c r="D371" s="541"/>
      <c r="E371" s="541"/>
      <c r="F371" s="541"/>
      <c r="G371" s="540"/>
    </row>
    <row r="372" spans="2:18" x14ac:dyDescent="0.45">
      <c r="B372" s="540"/>
      <c r="C372" s="541"/>
      <c r="D372" s="541"/>
      <c r="E372" s="541"/>
      <c r="F372" s="541"/>
      <c r="G372" s="541"/>
    </row>
  </sheetData>
  <sheetProtection selectLockedCells="1" selectUnlockedCells="1"/>
  <mergeCells count="101">
    <mergeCell ref="C353:F353"/>
    <mergeCell ref="C354:L355"/>
    <mergeCell ref="K357:L357"/>
    <mergeCell ref="E363:F363"/>
    <mergeCell ref="I335:I336"/>
    <mergeCell ref="J335:J336"/>
    <mergeCell ref="K335:K336"/>
    <mergeCell ref="C337:C338"/>
    <mergeCell ref="F339:F340"/>
    <mergeCell ref="B341:B342"/>
    <mergeCell ref="A322:A323"/>
    <mergeCell ref="A326:L326"/>
    <mergeCell ref="A327:A328"/>
    <mergeCell ref="A335:A336"/>
    <mergeCell ref="B335:B336"/>
    <mergeCell ref="C335:C336"/>
    <mergeCell ref="E335:E336"/>
    <mergeCell ref="F335:F336"/>
    <mergeCell ref="G335:G336"/>
    <mergeCell ref="H335:H336"/>
    <mergeCell ref="C257:K257"/>
    <mergeCell ref="A258:A259"/>
    <mergeCell ref="C288:K288"/>
    <mergeCell ref="L305:L307"/>
    <mergeCell ref="L309:L312"/>
    <mergeCell ref="C314:K314"/>
    <mergeCell ref="A211:A213"/>
    <mergeCell ref="A215:A216"/>
    <mergeCell ref="C224:K224"/>
    <mergeCell ref="A238:A240"/>
    <mergeCell ref="C249:K249"/>
    <mergeCell ref="B250:B253"/>
    <mergeCell ref="A188:A189"/>
    <mergeCell ref="G188:K188"/>
    <mergeCell ref="C192:K192"/>
    <mergeCell ref="A194:A196"/>
    <mergeCell ref="C200:K200"/>
    <mergeCell ref="A206:A207"/>
    <mergeCell ref="A161:A162"/>
    <mergeCell ref="C169:K169"/>
    <mergeCell ref="A173:A174"/>
    <mergeCell ref="C176:K176"/>
    <mergeCell ref="A181:A182"/>
    <mergeCell ref="L183:L184"/>
    <mergeCell ref="G142:K142"/>
    <mergeCell ref="G150:K150"/>
    <mergeCell ref="G151:K151"/>
    <mergeCell ref="C157:K157"/>
    <mergeCell ref="C160:C162"/>
    <mergeCell ref="F160:F162"/>
    <mergeCell ref="J160:J163"/>
    <mergeCell ref="G118:K118"/>
    <mergeCell ref="G119:K119"/>
    <mergeCell ref="L123:L124"/>
    <mergeCell ref="A127:A129"/>
    <mergeCell ref="L129:L130"/>
    <mergeCell ref="C139:K139"/>
    <mergeCell ref="G94:K94"/>
    <mergeCell ref="G96:K96"/>
    <mergeCell ref="G99:K99"/>
    <mergeCell ref="L100:L103"/>
    <mergeCell ref="G112:K112"/>
    <mergeCell ref="G114:K114"/>
    <mergeCell ref="A66:A67"/>
    <mergeCell ref="L67:L68"/>
    <mergeCell ref="B76:L76"/>
    <mergeCell ref="G81:K81"/>
    <mergeCell ref="L83:L86"/>
    <mergeCell ref="A85:A86"/>
    <mergeCell ref="A49:A50"/>
    <mergeCell ref="G51:I51"/>
    <mergeCell ref="G52:K52"/>
    <mergeCell ref="G59:K59"/>
    <mergeCell ref="A61:A62"/>
    <mergeCell ref="A64:A65"/>
    <mergeCell ref="K18:K19"/>
    <mergeCell ref="L18:L19"/>
    <mergeCell ref="C30:K30"/>
    <mergeCell ref="G35:K35"/>
    <mergeCell ref="A40:A41"/>
    <mergeCell ref="B45:B47"/>
    <mergeCell ref="B10:L10"/>
    <mergeCell ref="B18:B19"/>
    <mergeCell ref="C18:C19"/>
    <mergeCell ref="D18:D19"/>
    <mergeCell ref="E18:E19"/>
    <mergeCell ref="F18:F19"/>
    <mergeCell ref="G18:G19"/>
    <mergeCell ref="H18:H19"/>
    <mergeCell ref="I18:I19"/>
    <mergeCell ref="J18:J19"/>
    <mergeCell ref="K2:L2"/>
    <mergeCell ref="B3:L3"/>
    <mergeCell ref="A5:A8"/>
    <mergeCell ref="B5:B8"/>
    <mergeCell ref="C5:C8"/>
    <mergeCell ref="D5:D8"/>
    <mergeCell ref="E5:E8"/>
    <mergeCell ref="F5:F8"/>
    <mergeCell ref="G5:K7"/>
    <mergeCell ref="L5:L8"/>
  </mergeCells>
  <printOptions horizontalCentered="1"/>
  <pageMargins left="0.78740157480314965" right="0.39370078740157483" top="0.78740157480314965" bottom="0" header="0.51181102362204722" footer="0"/>
  <pageSetup paperSize="9" scale="32"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9" manualBreakCount="29">
    <brk id="16" max="30" man="1"/>
    <brk id="21" max="30" man="1"/>
    <brk id="29" max="30" man="1"/>
    <brk id="37" max="30" man="1"/>
    <brk id="46" max="30" man="1"/>
    <brk id="62" max="30" man="1"/>
    <brk id="78" max="30" man="1"/>
    <brk id="90" max="30" man="1"/>
    <brk id="99" max="11" man="1"/>
    <brk id="115" max="11" man="1"/>
    <brk id="121" max="11" man="1"/>
    <brk id="128" max="11" man="1"/>
    <brk id="138" max="30" man="1"/>
    <brk id="147" max="30" man="1"/>
    <brk id="156" max="30" man="1"/>
    <brk id="172" max="11" man="1"/>
    <brk id="179" max="11" man="1"/>
    <brk id="185" max="11" man="1"/>
    <brk id="193" max="11" man="1"/>
    <brk id="201" max="11" man="1"/>
    <brk id="209" max="11" man="1"/>
    <brk id="245" max="30" man="1"/>
    <brk id="252" max="30" man="1"/>
    <brk id="277" max="30" man="1"/>
    <brk id="291" max="30" man="1"/>
    <brk id="305" max="30" man="1"/>
    <brk id="319" max="11" man="1"/>
    <brk id="334" max="11" man="1"/>
    <brk id="34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жовтень</vt:lpstr>
      <vt:lpstr>жовтень!Заголовки_для_друку</vt:lpstr>
      <vt:lpstr>жовтень!Область_друку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u134</dc:creator>
  <cp:lastModifiedBy>u134</cp:lastModifiedBy>
  <dcterms:created xsi:type="dcterms:W3CDTF">2025-10-03T11:43:39Z</dcterms:created>
  <dcterms:modified xsi:type="dcterms:W3CDTF">2025-10-03T12:30:09Z</dcterms:modified>
</cp:coreProperties>
</file>